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ДГиДНГ\ПИСЬМА + ТЕНДЕРА\ТЕНДЕРА\Тендеры 2025\Бурение_2026-2028_ОРБ\На сайт\ТД\Приложение №3\ТЗ\"/>
    </mc:Choice>
  </mc:AlternateContent>
  <xr:revisionPtr revIDLastSave="0" documentId="13_ncr:1_{7C2284C6-996B-498E-822C-24EEF77231A4}" xr6:coauthVersionLast="36" xr6:coauthVersionMax="47" xr10:uidLastSave="{00000000-0000-0000-0000-000000000000}"/>
  <bookViews>
    <workbookView xWindow="28680" yWindow="-1095" windowWidth="29040" windowHeight="15720" xr2:uid="{00000000-000D-0000-FFFF-FFFF00000000}"/>
  </bookViews>
  <sheets>
    <sheet name="План (2)" sheetId="6" r:id="rId1"/>
  </sheets>
  <definedNames>
    <definedName name="_JV1">#REF!</definedName>
    <definedName name="_Key1" hidden="1">#REF!</definedName>
    <definedName name="_Order1" hidden="1">255</definedName>
    <definedName name="_Sort" hidden="1">#REF!</definedName>
    <definedName name="BHA">#REF!</definedName>
    <definedName name="dec">#REF!</definedName>
    <definedName name="kelly">#REF!</definedName>
    <definedName name="SD">#REF!</definedName>
    <definedName name="Surface">#REF!</definedName>
    <definedName name="survey">#REF!</definedName>
    <definedName name="tgtinc">#REF!</definedName>
    <definedName name="tgttvd">#REF!</definedName>
    <definedName name="_xlnm.Print_Area" localSheetId="0">'План (2)'!$B$1:$I$100</definedName>
  </definedNames>
  <calcPr calcId="191029"/>
</workbook>
</file>

<file path=xl/calcChain.xml><?xml version="1.0" encoding="utf-8"?>
<calcChain xmlns="http://schemas.openxmlformats.org/spreadsheetml/2006/main">
  <c r="I89" i="6" l="1"/>
  <c r="I52" i="6"/>
  <c r="I13" i="6"/>
  <c r="I84" i="6"/>
  <c r="I87" i="6"/>
  <c r="I39" i="6"/>
  <c r="I32" i="6"/>
  <c r="I35" i="6"/>
  <c r="I65" i="6"/>
  <c r="I57" i="6"/>
  <c r="I27" i="6"/>
  <c r="I8" i="6"/>
  <c r="C68" i="6"/>
  <c r="D68" i="6" s="1"/>
  <c r="C70" i="6"/>
  <c r="D70" i="6" s="1"/>
  <c r="C72" i="6"/>
  <c r="D72" i="6" s="1"/>
  <c r="I67" i="6"/>
  <c r="C67" i="6" s="1"/>
  <c r="D67" i="6" s="1"/>
  <c r="I66" i="6"/>
  <c r="C66" i="6" s="1"/>
  <c r="D66" i="6" s="1"/>
  <c r="I58" i="6"/>
  <c r="I56" i="6"/>
  <c r="I64" i="6"/>
  <c r="I70" i="6"/>
  <c r="I17" i="6"/>
  <c r="I7" i="6"/>
  <c r="E14" i="6" l="1"/>
  <c r="I55" i="6" l="1"/>
  <c r="C61" i="6" l="1"/>
  <c r="D61" i="6" s="1"/>
  <c r="C62" i="6"/>
  <c r="C74" i="6"/>
  <c r="C75" i="6"/>
  <c r="C76" i="6"/>
  <c r="C78" i="6"/>
  <c r="C80" i="6"/>
  <c r="C81" i="6"/>
  <c r="C83" i="6"/>
  <c r="C84" i="6"/>
  <c r="C85" i="6"/>
  <c r="C86" i="6"/>
  <c r="C88" i="6"/>
  <c r="C90" i="6"/>
  <c r="C92" i="6"/>
  <c r="I14" i="6" l="1"/>
  <c r="C64" i="6"/>
  <c r="C58" i="6"/>
  <c r="C56" i="6"/>
  <c r="C20" i="6" l="1"/>
  <c r="D20" i="6" s="1"/>
  <c r="C22" i="6"/>
  <c r="D22" i="6" s="1"/>
  <c r="C89" i="6"/>
  <c r="C87" i="6"/>
  <c r="D62" i="6" l="1"/>
  <c r="D64" i="6"/>
  <c r="D58" i="6" l="1"/>
  <c r="I10" i="6"/>
  <c r="C60" i="6" l="1"/>
  <c r="D60" i="6" s="1"/>
  <c r="I31" i="6"/>
  <c r="C18" i="6"/>
  <c r="C24" i="6"/>
  <c r="I93" i="6"/>
  <c r="C93" i="6" s="1"/>
  <c r="C17" i="6" l="1"/>
  <c r="C12" i="6"/>
  <c r="C25" i="6"/>
  <c r="C28" i="6"/>
  <c r="C37" i="6"/>
  <c r="C40" i="6"/>
  <c r="C41" i="6"/>
  <c r="C43" i="6"/>
  <c r="C45" i="6"/>
  <c r="C46" i="6"/>
  <c r="C48" i="6"/>
  <c r="C49" i="6"/>
  <c r="C50" i="6"/>
  <c r="C53" i="6"/>
  <c r="D18" i="6" l="1"/>
  <c r="C31" i="6"/>
  <c r="D74" i="6" l="1"/>
  <c r="D75" i="6"/>
  <c r="D76" i="6"/>
  <c r="D78" i="6"/>
  <c r="D80" i="6"/>
  <c r="D81" i="6"/>
  <c r="D83" i="6"/>
  <c r="D84" i="6"/>
  <c r="D85" i="6"/>
  <c r="D88" i="6"/>
  <c r="D90" i="6"/>
  <c r="D92" i="6"/>
  <c r="C39" i="6" l="1"/>
  <c r="C32" i="6"/>
  <c r="D24" i="6"/>
  <c r="D25" i="6"/>
  <c r="D89" i="6" l="1"/>
  <c r="D87" i="6"/>
  <c r="C14" i="6"/>
  <c r="D14" i="6" s="1"/>
  <c r="D86" i="6"/>
  <c r="C52" i="6"/>
  <c r="D17" i="6" l="1"/>
  <c r="E15" i="6"/>
  <c r="E16" i="6" s="1"/>
  <c r="E17" i="6" s="1"/>
  <c r="C16" i="6" l="1"/>
  <c r="D16" i="6" s="1"/>
  <c r="C13" i="6"/>
  <c r="D13" i="6" s="1"/>
  <c r="E18" i="6"/>
  <c r="F15" i="6"/>
  <c r="I15" i="6"/>
  <c r="C15" i="6" l="1"/>
  <c r="D15" i="6" s="1"/>
  <c r="I6" i="6"/>
  <c r="D12" i="6"/>
  <c r="I11" i="6"/>
  <c r="C11" i="6" s="1"/>
  <c r="D11" i="6" s="1"/>
  <c r="C10" i="6"/>
  <c r="D10" i="6" s="1"/>
  <c r="I9" i="6"/>
  <c r="C9" i="6" s="1"/>
  <c r="D9" i="6" s="1"/>
  <c r="C8" i="6"/>
  <c r="D8" i="6" s="1"/>
  <c r="C7" i="6"/>
  <c r="D7" i="6" s="1"/>
  <c r="D93" i="6" l="1"/>
  <c r="D56" i="6"/>
  <c r="C35" i="6"/>
  <c r="D28" i="6"/>
  <c r="I51" i="6"/>
  <c r="C51" i="6" s="1"/>
  <c r="C57" i="6"/>
  <c r="C55" i="6" l="1"/>
  <c r="D55" i="6" s="1"/>
  <c r="D57" i="6"/>
  <c r="I34" i="6"/>
  <c r="C34" i="6" s="1"/>
  <c r="I29" i="6" l="1"/>
  <c r="I30" i="6"/>
  <c r="D37" i="6"/>
  <c r="C29" i="6" l="1"/>
  <c r="D29" i="6" s="1"/>
  <c r="C27" i="6"/>
  <c r="D27" i="6" s="1"/>
  <c r="C30" i="6"/>
  <c r="D30" i="6" s="1"/>
  <c r="D31" i="6"/>
  <c r="D32" i="6"/>
  <c r="D34" i="6"/>
  <c r="D39" i="6"/>
  <c r="D40" i="6"/>
  <c r="D41" i="6"/>
  <c r="D43" i="6"/>
  <c r="D45" i="6"/>
  <c r="D46" i="6"/>
  <c r="D49" i="6"/>
  <c r="D50" i="6"/>
  <c r="D51" i="6"/>
  <c r="D53" i="6"/>
  <c r="D52" i="6"/>
  <c r="D48" i="6" l="1"/>
  <c r="C6" i="6" l="1"/>
  <c r="D6" i="6" s="1"/>
  <c r="G6" i="6" s="1"/>
  <c r="G7" i="6" s="1"/>
  <c r="G8" i="6" s="1"/>
  <c r="G9" i="6" s="1"/>
  <c r="G10" i="6" s="1"/>
  <c r="G11" i="6" s="1"/>
  <c r="G12" i="6" s="1"/>
  <c r="G13" i="6" s="1"/>
  <c r="G14" i="6" s="1"/>
  <c r="G15" i="6" s="1"/>
  <c r="G16" i="6" s="1"/>
  <c r="G17" i="6" s="1"/>
  <c r="G18" i="6" s="1"/>
  <c r="J6" i="6" l="1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B6" i="6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D35" i="6" l="1"/>
  <c r="E19" i="6" l="1"/>
  <c r="I19" i="6" s="1"/>
  <c r="E20" i="6" l="1"/>
  <c r="E21" i="6" s="1"/>
  <c r="E22" i="6" s="1"/>
  <c r="E23" i="6" s="1"/>
  <c r="C19" i="6"/>
  <c r="I21" i="6"/>
  <c r="C21" i="6" s="1"/>
  <c r="D21" i="6" s="1"/>
  <c r="E24" i="6" l="1"/>
  <c r="I23" i="6"/>
  <c r="D19" i="6"/>
  <c r="G19" i="6" l="1"/>
  <c r="G20" i="6" s="1"/>
  <c r="G21" i="6" s="1"/>
  <c r="G22" i="6" s="1"/>
  <c r="J19" i="6"/>
  <c r="J20" i="6" s="1"/>
  <c r="J21" i="6" s="1"/>
  <c r="J22" i="6" s="1"/>
  <c r="B19" i="6"/>
  <c r="B20" i="6" s="1"/>
  <c r="B21" i="6" s="1"/>
  <c r="B22" i="6" s="1"/>
  <c r="E25" i="6"/>
  <c r="E26" i="6" s="1"/>
  <c r="I26" i="6" s="1"/>
  <c r="C23" i="6"/>
  <c r="D23" i="6" l="1"/>
  <c r="E27" i="6"/>
  <c r="E28" i="6" s="1"/>
  <c r="E29" i="6" s="1"/>
  <c r="E30" i="6" s="1"/>
  <c r="E31" i="6" s="1"/>
  <c r="E32" i="6" s="1"/>
  <c r="C26" i="6"/>
  <c r="J23" i="6" l="1"/>
  <c r="J24" i="6" s="1"/>
  <c r="J25" i="6" s="1"/>
  <c r="G23" i="6"/>
  <c r="G24" i="6" s="1"/>
  <c r="G25" i="6" s="1"/>
  <c r="B23" i="6"/>
  <c r="B24" i="6" s="1"/>
  <c r="B25" i="6" s="1"/>
  <c r="E33" i="6"/>
  <c r="I33" i="6" s="1"/>
  <c r="F32" i="6"/>
  <c r="D26" i="6"/>
  <c r="J26" i="6" l="1"/>
  <c r="J27" i="6" s="1"/>
  <c r="J28" i="6" s="1"/>
  <c r="J29" i="6" s="1"/>
  <c r="J30" i="6" s="1"/>
  <c r="J31" i="6" s="1"/>
  <c r="J32" i="6" s="1"/>
  <c r="G26" i="6"/>
  <c r="G27" i="6" s="1"/>
  <c r="G28" i="6" s="1"/>
  <c r="G29" i="6" s="1"/>
  <c r="G30" i="6" s="1"/>
  <c r="G31" i="6" s="1"/>
  <c r="G32" i="6" s="1"/>
  <c r="B26" i="6"/>
  <c r="B27" i="6" s="1"/>
  <c r="B28" i="6" s="1"/>
  <c r="B29" i="6" s="1"/>
  <c r="B30" i="6" s="1"/>
  <c r="B31" i="6" s="1"/>
  <c r="B32" i="6" s="1"/>
  <c r="E34" i="6"/>
  <c r="E35" i="6" s="1"/>
  <c r="E36" i="6" s="1"/>
  <c r="I36" i="6" s="1"/>
  <c r="F33" i="6"/>
  <c r="E37" i="6" l="1"/>
  <c r="E38" i="6" s="1"/>
  <c r="C33" i="6"/>
  <c r="D33" i="6" s="1"/>
  <c r="J33" i="6" s="1"/>
  <c r="J34" i="6" s="1"/>
  <c r="J35" i="6" s="1"/>
  <c r="E39" i="6" l="1"/>
  <c r="I38" i="6"/>
  <c r="G33" i="6"/>
  <c r="G34" i="6" s="1"/>
  <c r="G35" i="6" s="1"/>
  <c r="B33" i="6"/>
  <c r="B34" i="6" s="1"/>
  <c r="B35" i="6" s="1"/>
  <c r="C36" i="6"/>
  <c r="D36" i="6" s="1"/>
  <c r="J36" i="6" s="1"/>
  <c r="J37" i="6" s="1"/>
  <c r="E40" i="6"/>
  <c r="E41" i="6" s="1"/>
  <c r="G36" i="6" l="1"/>
  <c r="G37" i="6" s="1"/>
  <c r="B36" i="6"/>
  <c r="B37" i="6" s="1"/>
  <c r="C38" i="6"/>
  <c r="D38" i="6" s="1"/>
  <c r="E42" i="6"/>
  <c r="I42" i="6" s="1"/>
  <c r="B38" i="6" l="1"/>
  <c r="B39" i="6" s="1"/>
  <c r="B40" i="6" s="1"/>
  <c r="B41" i="6" s="1"/>
  <c r="G38" i="6"/>
  <c r="G39" i="6" s="1"/>
  <c r="G40" i="6" s="1"/>
  <c r="G41" i="6" s="1"/>
  <c r="J38" i="6"/>
  <c r="J39" i="6" s="1"/>
  <c r="J40" i="6" s="1"/>
  <c r="J41" i="6" s="1"/>
  <c r="E43" i="6"/>
  <c r="E44" i="6" s="1"/>
  <c r="I44" i="6" s="1"/>
  <c r="C42" i="6" l="1"/>
  <c r="D42" i="6" s="1"/>
  <c r="B42" i="6" s="1"/>
  <c r="B43" i="6" s="1"/>
  <c r="E45" i="6"/>
  <c r="E46" i="6" s="1"/>
  <c r="E47" i="6" s="1"/>
  <c r="I47" i="6" s="1"/>
  <c r="J42" i="6" l="1"/>
  <c r="J43" i="6" s="1"/>
  <c r="G42" i="6"/>
  <c r="G43" i="6" s="1"/>
  <c r="C44" i="6"/>
  <c r="D44" i="6" s="1"/>
  <c r="E48" i="6"/>
  <c r="E49" i="6" s="1"/>
  <c r="E50" i="6" s="1"/>
  <c r="E51" i="6" s="1"/>
  <c r="G44" i="6" l="1"/>
  <c r="G45" i="6" s="1"/>
  <c r="G46" i="6" s="1"/>
  <c r="J44" i="6"/>
  <c r="J45" i="6" s="1"/>
  <c r="J46" i="6" s="1"/>
  <c r="B44" i="6"/>
  <c r="B45" i="6" s="1"/>
  <c r="B46" i="6" s="1"/>
  <c r="C47" i="6"/>
  <c r="D47" i="6" s="1"/>
  <c r="E53" i="6"/>
  <c r="E52" i="6"/>
  <c r="J47" i="6" l="1"/>
  <c r="J48" i="6" s="1"/>
  <c r="J49" i="6" s="1"/>
  <c r="J50" i="6" s="1"/>
  <c r="J51" i="6" s="1"/>
  <c r="J52" i="6" s="1"/>
  <c r="J53" i="6" s="1"/>
  <c r="G47" i="6"/>
  <c r="G48" i="6" s="1"/>
  <c r="G49" i="6" s="1"/>
  <c r="G50" i="6" s="1"/>
  <c r="G51" i="6" s="1"/>
  <c r="G52" i="6" s="1"/>
  <c r="G53" i="6" s="1"/>
  <c r="B47" i="6"/>
  <c r="B48" i="6" s="1"/>
  <c r="B49" i="6" s="1"/>
  <c r="B50" i="6" s="1"/>
  <c r="B51" i="6" s="1"/>
  <c r="B52" i="6" s="1"/>
  <c r="B53" i="6" s="1"/>
  <c r="F53" i="6"/>
  <c r="E54" i="6"/>
  <c r="I54" i="6" s="1"/>
  <c r="F54" i="6" l="1"/>
  <c r="E55" i="6"/>
  <c r="E56" i="6" s="1"/>
  <c r="E57" i="6" s="1"/>
  <c r="E58" i="6" l="1"/>
  <c r="E59" i="6" s="1"/>
  <c r="C54" i="6"/>
  <c r="D54" i="6" s="1"/>
  <c r="I59" i="6" l="1"/>
  <c r="C59" i="6" s="1"/>
  <c r="D59" i="6" s="1"/>
  <c r="J54" i="6"/>
  <c r="J55" i="6" s="1"/>
  <c r="J56" i="6" s="1"/>
  <c r="J57" i="6" s="1"/>
  <c r="G54" i="6"/>
  <c r="G55" i="6" s="1"/>
  <c r="G56" i="6" s="1"/>
  <c r="G57" i="6" s="1"/>
  <c r="G58" i="6" s="1"/>
  <c r="B54" i="6"/>
  <c r="B55" i="6" s="1"/>
  <c r="B56" i="6" s="1"/>
  <c r="B57" i="6" s="1"/>
  <c r="B58" i="6" s="1"/>
  <c r="B59" i="6" l="1"/>
  <c r="G59" i="6"/>
  <c r="J58" i="6"/>
  <c r="J59" i="6" s="1"/>
  <c r="E60" i="6" l="1"/>
  <c r="E61" i="6" l="1"/>
  <c r="E62" i="6" s="1"/>
  <c r="E63" i="6" s="1"/>
  <c r="I63" i="6" s="1"/>
  <c r="E64" i="6" l="1"/>
  <c r="E65" i="6" l="1"/>
  <c r="J60" i="6"/>
  <c r="J61" i="6" s="1"/>
  <c r="J62" i="6" s="1"/>
  <c r="B60" i="6"/>
  <c r="B61" i="6" s="1"/>
  <c r="B62" i="6" s="1"/>
  <c r="G60" i="6"/>
  <c r="G61" i="6" s="1"/>
  <c r="G62" i="6" s="1"/>
  <c r="C63" i="6"/>
  <c r="D63" i="6" s="1"/>
  <c r="C65" i="6" l="1"/>
  <c r="D65" i="6" s="1"/>
  <c r="E66" i="6"/>
  <c r="E67" i="6" s="1"/>
  <c r="E68" i="6" s="1"/>
  <c r="E69" i="6" s="1"/>
  <c r="J63" i="6"/>
  <c r="J64" i="6" s="1"/>
  <c r="B63" i="6"/>
  <c r="B64" i="6" s="1"/>
  <c r="B65" i="6" s="1"/>
  <c r="B66" i="6" s="1"/>
  <c r="B67" i="6" s="1"/>
  <c r="B68" i="6" s="1"/>
  <c r="G63" i="6"/>
  <c r="G64" i="6" s="1"/>
  <c r="G65" i="6" s="1"/>
  <c r="G66" i="6" s="1"/>
  <c r="G67" i="6" s="1"/>
  <c r="G68" i="6" s="1"/>
  <c r="E70" i="6" l="1"/>
  <c r="I69" i="6"/>
  <c r="C69" i="6" s="1"/>
  <c r="D69" i="6" s="1"/>
  <c r="G69" i="6" s="1"/>
  <c r="G70" i="6" s="1"/>
  <c r="J65" i="6"/>
  <c r="J66" i="6" s="1"/>
  <c r="J67" i="6" s="1"/>
  <c r="J69" i="6" s="1"/>
  <c r="J70" i="6" s="1"/>
  <c r="E71" i="6" l="1"/>
  <c r="E72" i="6"/>
  <c r="E74" i="6" s="1"/>
  <c r="E76" i="6" s="1"/>
  <c r="E78" i="6" s="1"/>
  <c r="E80" i="6" s="1"/>
  <c r="E82" i="6" s="1"/>
  <c r="B69" i="6"/>
  <c r="B70" i="6" s="1"/>
  <c r="E84" i="6" l="1"/>
  <c r="E86" i="6" s="1"/>
  <c r="E88" i="6" s="1"/>
  <c r="E90" i="6" s="1"/>
  <c r="E92" i="6" s="1"/>
  <c r="E94" i="6" s="1"/>
  <c r="I82" i="6"/>
  <c r="I71" i="6"/>
  <c r="C71" i="6" s="1"/>
  <c r="D71" i="6" s="1"/>
  <c r="E73" i="6"/>
  <c r="I73" i="6" l="1"/>
  <c r="C73" i="6" s="1"/>
  <c r="D73" i="6" s="1"/>
  <c r="E75" i="6"/>
  <c r="E77" i="6" s="1"/>
  <c r="G71" i="6"/>
  <c r="G72" i="6" s="1"/>
  <c r="G73" i="6" s="1"/>
  <c r="G74" i="6" s="1"/>
  <c r="G75" i="6" s="1"/>
  <c r="G76" i="6" s="1"/>
  <c r="J71" i="6"/>
  <c r="J72" i="6" s="1"/>
  <c r="J73" i="6" s="1"/>
  <c r="J74" i="6" s="1"/>
  <c r="J75" i="6" s="1"/>
  <c r="J76" i="6" s="1"/>
  <c r="B71" i="6"/>
  <c r="B72" i="6" s="1"/>
  <c r="B73" i="6" s="1"/>
  <c r="B74" i="6" s="1"/>
  <c r="B75" i="6" s="1"/>
  <c r="B76" i="6" s="1"/>
  <c r="C82" i="6"/>
  <c r="D82" i="6" s="1"/>
  <c r="E79" i="6" l="1"/>
  <c r="I77" i="6"/>
  <c r="C77" i="6" s="1"/>
  <c r="D77" i="6" s="1"/>
  <c r="B77" i="6" s="1"/>
  <c r="B78" i="6" s="1"/>
  <c r="E81" i="6" l="1"/>
  <c r="E83" i="6" s="1"/>
  <c r="E85" i="6" s="1"/>
  <c r="E87" i="6" s="1"/>
  <c r="E89" i="6" s="1"/>
  <c r="E91" i="6" s="1"/>
  <c r="I79" i="6"/>
  <c r="C79" i="6" s="1"/>
  <c r="D79" i="6" s="1"/>
  <c r="B79" i="6" s="1"/>
  <c r="B80" i="6" s="1"/>
  <c r="B81" i="6" s="1"/>
  <c r="B82" i="6" s="1"/>
  <c r="B83" i="6" s="1"/>
  <c r="B84" i="6" s="1"/>
  <c r="B85" i="6" s="1"/>
  <c r="B86" i="6" s="1"/>
  <c r="B87" i="6" s="1"/>
  <c r="B88" i="6" s="1"/>
  <c r="B89" i="6" s="1"/>
  <c r="B90" i="6" s="1"/>
  <c r="J77" i="6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G77" i="6"/>
  <c r="G78" i="6" s="1"/>
  <c r="G79" i="6" s="1"/>
  <c r="G80" i="6" s="1"/>
  <c r="G81" i="6" s="1"/>
  <c r="G82" i="6" s="1"/>
  <c r="G83" i="6" s="1"/>
  <c r="G84" i="6" s="1"/>
  <c r="G85" i="6" s="1"/>
  <c r="G86" i="6" s="1"/>
  <c r="G87" i="6" s="1"/>
  <c r="G88" i="6" s="1"/>
  <c r="G89" i="6" s="1"/>
  <c r="G90" i="6" s="1"/>
  <c r="E93" i="6" l="1"/>
  <c r="I91" i="6"/>
  <c r="C91" i="6" s="1"/>
  <c r="D91" i="6" s="1"/>
  <c r="B91" i="6" s="1"/>
  <c r="B92" i="6" s="1"/>
  <c r="B93" i="6" s="1"/>
  <c r="I94" i="6" s="1"/>
  <c r="C94" i="6" s="1"/>
  <c r="D94" i="6" s="1"/>
  <c r="B94" i="6" s="1"/>
  <c r="G91" i="6" l="1"/>
  <c r="G92" i="6" s="1"/>
  <c r="G93" i="6" s="1"/>
  <c r="G94" i="6" s="1"/>
  <c r="G96" i="6" s="1"/>
  <c r="J91" i="6"/>
  <c r="J92" i="6" s="1"/>
  <c r="J93" i="6" s="1"/>
  <c r="J94" i="6" s="1"/>
</calcChain>
</file>

<file path=xl/sharedStrings.xml><?xml version="1.0" encoding="utf-8"?>
<sst xmlns="http://schemas.openxmlformats.org/spreadsheetml/2006/main" count="107" uniqueCount="98">
  <si>
    <t>Нарастающее время, сут</t>
  </si>
  <si>
    <t>В часах</t>
  </si>
  <si>
    <t>В сутках</t>
  </si>
  <si>
    <t>Глубина, м</t>
  </si>
  <si>
    <t>Проходка на долото, м</t>
  </si>
  <si>
    <t>Наименование технологических операций</t>
  </si>
  <si>
    <t>Примечание:</t>
  </si>
  <si>
    <t>Плановая дата оконч. Операции</t>
  </si>
  <si>
    <t>Дата начала строительства</t>
  </si>
  <si>
    <t>Формулы (нормы)</t>
  </si>
  <si>
    <t>Промывка на забое</t>
  </si>
  <si>
    <t>Промывка на забое с ОГР</t>
  </si>
  <si>
    <t xml:space="preserve">Разборка КНБК </t>
  </si>
  <si>
    <t>Промывка. ПЗР к цементированию</t>
  </si>
  <si>
    <t>СПО - спуск до оснастки кондуктора</t>
  </si>
  <si>
    <t>Разборка КНБК с выбросом УБТ на мостки</t>
  </si>
  <si>
    <t xml:space="preserve">ОЗЦ. </t>
  </si>
  <si>
    <t>ПЗР к спуску обсадной колонны (кондуктора) 324 мм.</t>
  </si>
  <si>
    <t>ПЗР к спуску технической колонны 245 мм.</t>
  </si>
  <si>
    <t>Цементирование технической колонный 245 мм.</t>
  </si>
  <si>
    <t>Спуск КНБК (Шаблонировка скважины) + проработка мест посадок</t>
  </si>
  <si>
    <t xml:space="preserve">Демонтаж ПВО.  Монтаж и опрессовка ФА. </t>
  </si>
  <si>
    <t>1.	ГГД является нормативным временем строительства скважины.</t>
  </si>
  <si>
    <t xml:space="preserve">Разбуривание оснастки; Опрессовка цем.камня. </t>
  </si>
  <si>
    <t xml:space="preserve">Первичный монтаж и опрессовка ПВО. </t>
  </si>
  <si>
    <t>ОЗЦ</t>
  </si>
  <si>
    <t>Перемонтаж ПВО и опрессовка</t>
  </si>
  <si>
    <t>Цементирование обсадной колонны (кондуктора) 324 мм прямое.</t>
  </si>
  <si>
    <t>ОЗЦ.</t>
  </si>
  <si>
    <t xml:space="preserve">Бурение направления. Наращивания. Промывки. Проработки. </t>
  </si>
  <si>
    <t>Разборка КНБК№1.</t>
  </si>
  <si>
    <t xml:space="preserve">ПЗР и спуск  направления 426мм. Промывка.  </t>
  </si>
  <si>
    <t xml:space="preserve">ПЗР. Цементаж направления.  </t>
  </si>
  <si>
    <t>Сборка КНБК№2 под кондуктор диаметром 324мм</t>
  </si>
  <si>
    <t>Сборка КНБК№1 под направление диаметром 426мм</t>
  </si>
  <si>
    <t>Сборка КНБК № 3  под тех. колонну 245 мм.</t>
  </si>
  <si>
    <t>Сборка КНБК №4</t>
  </si>
  <si>
    <t>Разборка КНБК №3</t>
  </si>
  <si>
    <t xml:space="preserve">Разборка КНБК№4; </t>
  </si>
  <si>
    <t>ОЗЦ. Перемонтаж трубных плашек ПВО. Опрессовка ПВО.</t>
  </si>
  <si>
    <t>Разбуривание МСЦ</t>
  </si>
  <si>
    <t>Подъем с выбросом СБТ 89мм на мостки. Разборка КНБК.</t>
  </si>
  <si>
    <t>ГИС на кабеле (АКЦ, СГДТ,РК,ЛМ) инклинометр в хвостовике</t>
  </si>
  <si>
    <t>ГИС на кабеле: ПС, РК(ГК+НГК), КС-3 зонда, профилеметрия, резистивиметрия, кавернометрия, АК, БКЗ, БК, ИК, микрокаротаж (МБК, МКЗ, микрокавернометрия), 5БК, 5ИК (ВИКИЗ) Инклинометрия.                                                                                     АКЦ,РК, ЛМ, инкл в инт. 0-1100 м за тех. колонной</t>
  </si>
  <si>
    <t>ИЗП (Серпуховский). В случае поглощения: РК, Каверномер, Термометр (3шт.фон, под закачкой, после закачки).</t>
  </si>
  <si>
    <t>Разборка КНБК №4</t>
  </si>
  <si>
    <t>Сборка КНБК под шаблонировку</t>
  </si>
  <si>
    <t>Спуск КНБК под шаблонировку</t>
  </si>
  <si>
    <t>Разборка КНБК после шаблонировки</t>
  </si>
  <si>
    <t>Сборка КНБК на шаблонировку</t>
  </si>
  <si>
    <t>Спуск КНБК на шаблонировку</t>
  </si>
  <si>
    <t>ПЗР к спуску экс колонны 168 мм</t>
  </si>
  <si>
    <r>
      <t xml:space="preserve">Промывка, перевод скважины на тех воду.                                                                    </t>
    </r>
    <r>
      <rPr>
        <b/>
        <sz val="9"/>
        <rFont val="Times New Roman"/>
        <family val="1"/>
        <charset val="204"/>
      </rPr>
      <t xml:space="preserve">Согласовать с ГО плотность (ρ) жидкости заканчивания. </t>
    </r>
  </si>
  <si>
    <t>Сборка СБТ-127 600м.</t>
  </si>
  <si>
    <t>Сборка БИ в свечи 200м</t>
  </si>
  <si>
    <t>Сборка КНБК № 4 под экс. колонну 168мм с т/с</t>
  </si>
  <si>
    <t>Цементирование эксплуатационной колонны 168 мм (в 2-е ступени)</t>
  </si>
  <si>
    <t xml:space="preserve">Сборка КНБК. </t>
  </si>
  <si>
    <t xml:space="preserve">Сборка СБТ-89мм с мостков. Спуск до МСЦ. Опрессовка экспл.колонны. </t>
  </si>
  <si>
    <t>Разбуривание оснастки; Бурение 3м. Опрессовка цем.камня</t>
  </si>
  <si>
    <t>ПС, КС – 3 зонда, профилеметрия, кавернометрия
АК, БКЗ,  БК, ИК, микрокаротаж (МБК, МКЗ, микрокавернометрия), ГГК-ЛП,АП,5БК,5ИК (ВИКИЗ). АКЦ, ГК,ЛМ 0-200м</t>
  </si>
  <si>
    <t>ГИС  под кондуктор на кабеле (РК,БК, иклинометр, каверномер) 0-200м.</t>
  </si>
  <si>
    <t>Спуск КНБК до ЦКОД. Перезапись ГК</t>
  </si>
  <si>
    <t>Спуск КНБК №4. Перезапись ГК</t>
  </si>
  <si>
    <t xml:space="preserve">Сборка инструмента в свечи с установкой за палец 1500 м. </t>
  </si>
  <si>
    <t>Бурение в интервале 703 - 1103 м. Наращивания. Промывки. Снятие замеров.</t>
  </si>
  <si>
    <t>Бурение в интервале 203 - 700 м</t>
  </si>
  <si>
    <t>Бурение в интервале 1103 - 1490м. Наращивания. Промывки. Снятие замеров.</t>
  </si>
  <si>
    <t xml:space="preserve">Бурение в интервале 33 - 200 м </t>
  </si>
  <si>
    <r>
      <rPr>
        <b/>
        <sz val="9"/>
        <rFont val="Times New Roman"/>
        <family val="1"/>
        <charset val="204"/>
      </rPr>
      <t>Дата окончания работ</t>
    </r>
    <r>
      <rPr>
        <sz val="9"/>
        <rFont val="Times New Roman"/>
        <family val="1"/>
        <charset val="204"/>
      </rPr>
      <t xml:space="preserve"> с учетом времени обслуживания бур оборудование (ремонт и тд.) 5%</t>
    </r>
  </si>
  <si>
    <t>Дата передачи устья в освоение</t>
  </si>
  <si>
    <t>(перед бурением)</t>
  </si>
  <si>
    <t>График глубина-день скважин ННС №140,141,142 Емельяновского ЛУ (Мишаньковская ст-ра)</t>
  </si>
  <si>
    <t>2.	График глубина-день составляется с учетом времени на техническое обслуживание бурового оборудования.</t>
  </si>
  <si>
    <t>3.	График глубина-день составляется с учетом времени на ожидание интерпретации ГИРС, после проведения каротажа, а также перезапись ГК после проведения СПО по смене КНБК с т/системой.</t>
  </si>
  <si>
    <t>Бурение в интервале 1490- 1890 м. Наращивания. Промывки. Снятие замеров</t>
  </si>
  <si>
    <t>Бурение в интервале 1890 -2200 м. Наращивание. Промывка.</t>
  </si>
  <si>
    <t>Бурение в интервале 1890 -2100 м. Наращивание. Промывка.</t>
  </si>
  <si>
    <t xml:space="preserve">ИЗО (Бобриковский г-т) </t>
  </si>
  <si>
    <t>СПО - шаблонировка. Промывка. Продувка монифольда</t>
  </si>
  <si>
    <t>Подъем КНБК. Продувка монифольда</t>
  </si>
  <si>
    <t>Промывка. ПЗР к цементированию. Продувка монифольда</t>
  </si>
  <si>
    <t>КСПО 700-200-700 м. Продувка монифольда</t>
  </si>
  <si>
    <t>Подъем КНБК №3. Продувка монифольда</t>
  </si>
  <si>
    <t>Подъем КНБК  после шаблонировки. Продувка монифольда</t>
  </si>
  <si>
    <t>КСПО 1103-700-1103 м. Продувка монифольда</t>
  </si>
  <si>
    <t>Подъем КНБК№4. Продувка монифольда</t>
  </si>
  <si>
    <t>КСПО 1400-1890-1400 м. Продувка монифольда</t>
  </si>
  <si>
    <t>СПО (Шаблонировка скважины перед ГИС). Продувка монифольда</t>
  </si>
  <si>
    <t>Подъем КНБК №4. Продувка монифольда</t>
  </si>
  <si>
    <t>Подъем КНБК с выбросом инструмента на мостки. Продувка монифольда</t>
  </si>
  <si>
    <t>Опрессовка после разбуривания МСЦ. Спуск до ЦКОД. Продувка монифольда</t>
  </si>
  <si>
    <t>Спуск экс.колонны 168 мм + промежуточные промывки. Продувка монифольда</t>
  </si>
  <si>
    <t>Сборка оснастки и спуск обсадной колонны (кондуктора) 324 мм. Продувка монифольда</t>
  </si>
  <si>
    <t>Спуск технической колонны 245 мм. + сборка оснастки + промежуточная промывка. Продувка монифольда</t>
  </si>
  <si>
    <t>Промывка на забое. ОГР</t>
  </si>
  <si>
    <t>к техническому заданию на бурение скважин</t>
  </si>
  <si>
    <t>Приложение №1.2.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</si>
</sst>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&quot;$&quot;#.;\(&quot;$&quot;#,\)"/>
    <numFmt numFmtId="166" formatCode="_-* #,##0\ _D_M_-;\-* #,##0\ _D_M_-;_-* &quot;-&quot;\ _D_M_-;_-@_-"/>
    <numFmt numFmtId="167" formatCode="_-* #,##0.00\ _D_M_-;\-* #,##0.00\ _D_M_-;_-* &quot;-&quot;??\ _D_M_-;_-@_-"/>
    <numFmt numFmtId="168" formatCode="#,##0.00\ &quot;Pts&quot;;\-#,##0.00\ &quot;Pts&quot;"/>
    <numFmt numFmtId="169" formatCode="dd/mm/yy\ h:mm;@"/>
  </numFmts>
  <fonts count="47">
    <font>
      <sz val="10"/>
      <name val="Arial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name val="Times New Roman"/>
      <family val="1"/>
      <charset val="204"/>
    </font>
    <font>
      <sz val="11"/>
      <color indexed="20"/>
      <name val="Calibri"/>
      <family val="2"/>
    </font>
    <font>
      <sz val="12"/>
      <name val="Tms Rmn"/>
      <charset val="204"/>
    </font>
    <font>
      <sz val="10"/>
      <name val="Geneva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erif"/>
      <family val="1"/>
      <charset val="204"/>
    </font>
    <font>
      <sz val="10"/>
      <color indexed="16"/>
      <name val="MS Serif"/>
      <family val="1"/>
      <charset val="204"/>
    </font>
    <font>
      <i/>
      <sz val="11"/>
      <color indexed="23"/>
      <name val="Calibri"/>
      <family val="2"/>
    </font>
    <font>
      <sz val="8"/>
      <name val="Helv"/>
      <charset val="204"/>
    </font>
    <font>
      <sz val="11"/>
      <color indexed="17"/>
      <name val="Calibri"/>
      <family val="2"/>
    </font>
    <font>
      <sz val="8"/>
      <name val="Arial"/>
      <family val="2"/>
      <charset val="204"/>
    </font>
    <font>
      <b/>
      <sz val="12"/>
      <color indexed="9"/>
      <name val="Tms Rmn"/>
      <charset val="204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8"/>
      <name val="MS Sans Serif"/>
      <family val="2"/>
      <charset val="204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Wingdings"/>
      <charset val="2"/>
    </font>
    <font>
      <sz val="8"/>
      <name val="MS Sans Serif"/>
      <family val="2"/>
      <charset val="204"/>
    </font>
    <font>
      <b/>
      <sz val="8"/>
      <color indexed="8"/>
      <name val="Helv"/>
      <charset val="204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Helv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color indexed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0" tint="-0.34998626667073579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2">
    <xf numFmtId="0" fontId="0" fillId="0" borderId="0"/>
    <xf numFmtId="0" fontId="33" fillId="0" borderId="0"/>
    <xf numFmtId="0" fontId="3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0" borderId="0">
      <alignment horizontal="center" wrapText="1"/>
      <protection locked="0"/>
    </xf>
    <xf numFmtId="0" fontId="6" fillId="3" borderId="0" applyNumberFormat="0" applyBorder="0" applyAlignment="0" applyProtection="0"/>
    <xf numFmtId="0" fontId="7" fillId="0" borderId="0" applyNumberFormat="0" applyFill="0" applyBorder="0" applyAlignment="0" applyProtection="0"/>
    <xf numFmtId="165" fontId="8" fillId="0" borderId="0" applyFill="0" applyBorder="0" applyAlignment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Alignment="0">
      <alignment horizontal="left"/>
    </xf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2" fillId="0" borderId="0" applyNumberFormat="0" applyAlignment="0">
      <alignment horizontal="left"/>
    </xf>
    <xf numFmtId="0" fontId="13" fillId="0" borderId="0" applyNumberFormat="0" applyFill="0" applyBorder="0" applyAlignment="0" applyProtection="0"/>
    <xf numFmtId="0" fontId="14" fillId="0" borderId="0"/>
    <xf numFmtId="0" fontId="15" fillId="4" borderId="0" applyNumberFormat="0" applyBorder="0" applyAlignment="0" applyProtection="0"/>
    <xf numFmtId="38" fontId="16" fillId="22" borderId="0" applyNumberFormat="0" applyBorder="0" applyAlignment="0" applyProtection="0"/>
    <xf numFmtId="0" fontId="17" fillId="23" borderId="0"/>
    <xf numFmtId="0" fontId="1" fillId="0" borderId="3" applyNumberFormat="0" applyAlignment="0" applyProtection="0">
      <alignment horizontal="left" vertical="center"/>
    </xf>
    <xf numFmtId="0" fontId="1" fillId="0" borderId="4">
      <alignment horizontal="left" vertical="center"/>
    </xf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>
      <alignment horizontal="center"/>
    </xf>
    <xf numFmtId="0" fontId="21" fillId="0" borderId="0">
      <alignment horizontal="center"/>
    </xf>
    <xf numFmtId="0" fontId="22" fillId="7" borderId="1" applyNumberFormat="0" applyAlignment="0" applyProtection="0"/>
    <xf numFmtId="10" fontId="16" fillId="24" borderId="9" applyNumberFormat="0" applyBorder="0" applyAlignment="0" applyProtection="0"/>
    <xf numFmtId="0" fontId="23" fillId="0" borderId="10" applyNumberFormat="0" applyFill="0" applyAlignment="0" applyProtection="0"/>
    <xf numFmtId="0" fontId="24" fillId="25" borderId="0" applyNumberFormat="0" applyBorder="0" applyAlignment="0" applyProtection="0"/>
    <xf numFmtId="168" fontId="2" fillId="0" borderId="0"/>
    <xf numFmtId="0" fontId="2" fillId="0" borderId="0"/>
    <xf numFmtId="0" fontId="2" fillId="0" borderId="0"/>
    <xf numFmtId="0" fontId="2" fillId="26" borderId="11" applyNumberFormat="0" applyFont="0" applyAlignment="0" applyProtection="0"/>
    <xf numFmtId="0" fontId="25" fillId="20" borderId="12" applyNumberFormat="0" applyAlignment="0" applyProtection="0"/>
    <xf numFmtId="14" fontId="5" fillId="0" borderId="0">
      <alignment horizontal="center" wrapText="1"/>
      <protection locked="0"/>
    </xf>
    <xf numFmtId="10" fontId="2" fillId="0" borderId="0" applyFont="0" applyFill="0" applyBorder="0" applyAlignment="0" applyProtection="0"/>
    <xf numFmtId="0" fontId="26" fillId="27" borderId="0" applyNumberFormat="0" applyFont="0" applyBorder="0" applyAlignment="0">
      <alignment horizontal="center"/>
    </xf>
    <xf numFmtId="14" fontId="14" fillId="0" borderId="0" applyNumberFormat="0" applyFill="0" applyBorder="0" applyAlignment="0" applyProtection="0">
      <alignment horizontal="left"/>
    </xf>
    <xf numFmtId="0" fontId="26" fillId="1" borderId="4" applyNumberFormat="0" applyFont="0" applyAlignment="0">
      <alignment horizontal="center"/>
    </xf>
    <xf numFmtId="0" fontId="14" fillId="0" borderId="13"/>
    <xf numFmtId="0" fontId="27" fillId="0" borderId="0" applyNumberFormat="0" applyFill="0" applyBorder="0" applyAlignment="0">
      <alignment horizontal="center"/>
    </xf>
    <xf numFmtId="0" fontId="2" fillId="0" borderId="0"/>
    <xf numFmtId="40" fontId="28" fillId="0" borderId="0" applyBorder="0">
      <alignment horizontal="right"/>
    </xf>
    <xf numFmtId="0" fontId="29" fillId="0" borderId="0" applyNumberFormat="0" applyFill="0" applyBorder="0" applyAlignment="0" applyProtection="0"/>
    <xf numFmtId="0" fontId="30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2" fillId="0" borderId="0"/>
  </cellStyleXfs>
  <cellXfs count="104">
    <xf numFmtId="0" fontId="0" fillId="0" borderId="0" xfId="0"/>
    <xf numFmtId="0" fontId="35" fillId="0" borderId="0" xfId="71" applyFont="1"/>
    <xf numFmtId="0" fontId="36" fillId="0" borderId="0" xfId="71" applyFont="1" applyAlignment="1">
      <alignment horizontal="center" vertical="center"/>
    </xf>
    <xf numFmtId="0" fontId="35" fillId="0" borderId="0" xfId="71" applyFont="1" applyAlignment="1">
      <alignment horizontal="center" vertical="center"/>
    </xf>
    <xf numFmtId="0" fontId="38" fillId="0" borderId="17" xfId="71" applyFont="1" applyBorder="1" applyAlignment="1">
      <alignment horizontal="center" vertical="center" wrapText="1"/>
    </xf>
    <xf numFmtId="0" fontId="38" fillId="0" borderId="18" xfId="71" applyFont="1" applyBorder="1" applyAlignment="1">
      <alignment horizontal="center" vertical="center" wrapText="1"/>
    </xf>
    <xf numFmtId="0" fontId="39" fillId="0" borderId="18" xfId="71" applyFont="1" applyBorder="1" applyAlignment="1">
      <alignment horizontal="center" vertical="center" wrapText="1"/>
    </xf>
    <xf numFmtId="0" fontId="42" fillId="0" borderId="9" xfId="71" applyFont="1" applyBorder="1" applyAlignment="1">
      <alignment horizontal="center" vertical="center"/>
    </xf>
    <xf numFmtId="0" fontId="35" fillId="0" borderId="9" xfId="71" applyFont="1" applyBorder="1" applyAlignment="1">
      <alignment horizontal="center" vertical="center"/>
    </xf>
    <xf numFmtId="0" fontId="43" fillId="0" borderId="0" xfId="71" applyFont="1"/>
    <xf numFmtId="0" fontId="42" fillId="28" borderId="9" xfId="71" applyFont="1" applyFill="1" applyBorder="1" applyAlignment="1">
      <alignment horizontal="center" vertical="center"/>
    </xf>
    <xf numFmtId="0" fontId="42" fillId="29" borderId="9" xfId="71" applyFont="1" applyFill="1" applyBorder="1" applyAlignment="1">
      <alignment horizontal="center" vertical="center"/>
    </xf>
    <xf numFmtId="0" fontId="35" fillId="29" borderId="9" xfId="71" applyFont="1" applyFill="1" applyBorder="1" applyAlignment="1">
      <alignment horizontal="center" vertical="center"/>
    </xf>
    <xf numFmtId="2" fontId="35" fillId="28" borderId="9" xfId="71" applyNumberFormat="1" applyFont="1" applyFill="1" applyBorder="1" applyAlignment="1">
      <alignment horizontal="center" vertical="center"/>
    </xf>
    <xf numFmtId="0" fontId="43" fillId="29" borderId="0" xfId="71" applyFont="1" applyFill="1"/>
    <xf numFmtId="0" fontId="35" fillId="29" borderId="0" xfId="71" applyFont="1" applyFill="1"/>
    <xf numFmtId="0" fontId="40" fillId="29" borderId="9" xfId="71" applyFont="1" applyFill="1" applyBorder="1" applyAlignment="1">
      <alignment horizontal="center" vertical="center" wrapText="1"/>
    </xf>
    <xf numFmtId="0" fontId="41" fillId="29" borderId="9" xfId="71" applyFont="1" applyFill="1" applyBorder="1" applyAlignment="1">
      <alignment horizontal="center" vertical="center" wrapText="1"/>
    </xf>
    <xf numFmtId="169" fontId="35" fillId="28" borderId="9" xfId="71" applyNumberFormat="1" applyFont="1" applyFill="1" applyBorder="1" applyAlignment="1">
      <alignment horizontal="center" vertical="center"/>
    </xf>
    <xf numFmtId="0" fontId="41" fillId="0" borderId="15" xfId="56" applyFont="1" applyBorder="1" applyAlignment="1">
      <alignment vertical="center" wrapText="1"/>
    </xf>
    <xf numFmtId="49" fontId="41" fillId="0" borderId="15" xfId="0" applyNumberFormat="1" applyFont="1" applyBorder="1" applyAlignment="1">
      <alignment horizontal="left" wrapText="1"/>
    </xf>
    <xf numFmtId="0" fontId="41" fillId="28" borderId="15" xfId="56" applyFont="1" applyFill="1" applyBorder="1" applyAlignment="1">
      <alignment vertical="center" wrapText="1"/>
    </xf>
    <xf numFmtId="0" fontId="41" fillId="0" borderId="15" xfId="0" applyFont="1" applyBorder="1" applyAlignment="1">
      <alignment wrapText="1"/>
    </xf>
    <xf numFmtId="0" fontId="38" fillId="29" borderId="15" xfId="56" applyFont="1" applyFill="1" applyBorder="1" applyAlignment="1">
      <alignment horizontal="left" vertical="center" wrapText="1"/>
    </xf>
    <xf numFmtId="0" fontId="38" fillId="29" borderId="15" xfId="56" applyFont="1" applyFill="1" applyBorder="1" applyAlignment="1">
      <alignment vertical="center" wrapText="1"/>
    </xf>
    <xf numFmtId="49" fontId="38" fillId="29" borderId="15" xfId="0" applyNumberFormat="1" applyFont="1" applyFill="1" applyBorder="1" applyAlignment="1">
      <alignment horizontal="left" wrapText="1"/>
    </xf>
    <xf numFmtId="2" fontId="35" fillId="28" borderId="16" xfId="71" applyNumberFormat="1" applyFont="1" applyFill="1" applyBorder="1" applyAlignment="1">
      <alignment horizontal="center" vertical="center"/>
    </xf>
    <xf numFmtId="169" fontId="38" fillId="29" borderId="9" xfId="71" applyNumberFormat="1" applyFont="1" applyFill="1" applyBorder="1" applyAlignment="1">
      <alignment horizontal="center" vertical="center" wrapText="1"/>
    </xf>
    <xf numFmtId="164" fontId="39" fillId="29" borderId="9" xfId="0" applyNumberFormat="1" applyFont="1" applyFill="1" applyBorder="1" applyAlignment="1">
      <alignment horizontal="center" vertical="center"/>
    </xf>
    <xf numFmtId="2" fontId="36" fillId="29" borderId="9" xfId="71" applyNumberFormat="1" applyFont="1" applyFill="1" applyBorder="1" applyAlignment="1">
      <alignment horizontal="center" vertical="center"/>
    </xf>
    <xf numFmtId="2" fontId="36" fillId="29" borderId="16" xfId="71" applyNumberFormat="1" applyFont="1" applyFill="1" applyBorder="1" applyAlignment="1">
      <alignment horizontal="center" vertical="center"/>
    </xf>
    <xf numFmtId="0" fontId="38" fillId="0" borderId="19" xfId="71" applyFont="1" applyBorder="1" applyAlignment="1">
      <alignment horizontal="center" vertical="center"/>
    </xf>
    <xf numFmtId="49" fontId="41" fillId="28" borderId="15" xfId="0" applyNumberFormat="1" applyFont="1" applyFill="1" applyBorder="1" applyAlignment="1">
      <alignment horizontal="left"/>
    </xf>
    <xf numFmtId="0" fontId="46" fillId="0" borderId="0" xfId="71" applyFont="1"/>
    <xf numFmtId="0" fontId="45" fillId="28" borderId="0" xfId="71" applyFont="1" applyFill="1"/>
    <xf numFmtId="2" fontId="35" fillId="0" borderId="0" xfId="71" applyNumberFormat="1" applyFont="1"/>
    <xf numFmtId="2" fontId="38" fillId="28" borderId="17" xfId="71" applyNumberFormat="1" applyFont="1" applyFill="1" applyBorder="1" applyAlignment="1">
      <alignment horizontal="center" vertical="center" wrapText="1"/>
    </xf>
    <xf numFmtId="2" fontId="35" fillId="28" borderId="16" xfId="71" applyNumberFormat="1" applyFont="1" applyFill="1" applyBorder="1" applyAlignment="1">
      <alignment horizontal="center"/>
    </xf>
    <xf numFmtId="2" fontId="35" fillId="0" borderId="16" xfId="71" applyNumberFormat="1" applyFont="1" applyBorder="1" applyAlignment="1">
      <alignment horizontal="center" vertical="center"/>
    </xf>
    <xf numFmtId="0" fontId="35" fillId="28" borderId="9" xfId="71" applyFont="1" applyFill="1" applyBorder="1" applyAlignment="1">
      <alignment horizontal="center" vertical="center"/>
    </xf>
    <xf numFmtId="164" fontId="39" fillId="0" borderId="9" xfId="0" applyNumberFormat="1" applyFont="1" applyBorder="1" applyAlignment="1">
      <alignment horizontal="center" vertical="center"/>
    </xf>
    <xf numFmtId="2" fontId="35" fillId="29" borderId="16" xfId="71" applyNumberFormat="1" applyFont="1" applyFill="1" applyBorder="1" applyAlignment="1">
      <alignment horizontal="center" vertical="center"/>
    </xf>
    <xf numFmtId="2" fontId="35" fillId="29" borderId="9" xfId="71" applyNumberFormat="1" applyFont="1" applyFill="1" applyBorder="1" applyAlignment="1">
      <alignment horizontal="center" vertical="center"/>
    </xf>
    <xf numFmtId="2" fontId="35" fillId="29" borderId="16" xfId="71" applyNumberFormat="1" applyFont="1" applyFill="1" applyBorder="1" applyAlignment="1">
      <alignment horizontal="center"/>
    </xf>
    <xf numFmtId="49" fontId="41" fillId="28" borderId="15" xfId="0" applyNumberFormat="1" applyFont="1" applyFill="1" applyBorder="1" applyAlignment="1">
      <alignment horizontal="left" wrapText="1"/>
    </xf>
    <xf numFmtId="164" fontId="39" fillId="28" borderId="9" xfId="0" applyNumberFormat="1" applyFont="1" applyFill="1" applyBorder="1" applyAlignment="1">
      <alignment horizontal="center" vertical="center"/>
    </xf>
    <xf numFmtId="2" fontId="35" fillId="28" borderId="0" xfId="71" applyNumberFormat="1" applyFont="1" applyFill="1"/>
    <xf numFmtId="0" fontId="35" fillId="31" borderId="0" xfId="71" applyFont="1" applyFill="1"/>
    <xf numFmtId="0" fontId="46" fillId="31" borderId="0" xfId="71" applyFont="1" applyFill="1"/>
    <xf numFmtId="0" fontId="45" fillId="31" borderId="0" xfId="71" applyFont="1" applyFill="1"/>
    <xf numFmtId="0" fontId="46" fillId="29" borderId="0" xfId="71" applyFont="1" applyFill="1"/>
    <xf numFmtId="0" fontId="45" fillId="29" borderId="0" xfId="71" applyFont="1" applyFill="1"/>
    <xf numFmtId="0" fontId="35" fillId="30" borderId="0" xfId="71" applyFont="1" applyFill="1"/>
    <xf numFmtId="0" fontId="46" fillId="30" borderId="0" xfId="71" applyFont="1" applyFill="1"/>
    <xf numFmtId="0" fontId="45" fillId="30" borderId="0" xfId="71" applyFont="1" applyFill="1"/>
    <xf numFmtId="0" fontId="43" fillId="30" borderId="0" xfId="71" applyFont="1" applyFill="1"/>
    <xf numFmtId="0" fontId="35" fillId="32" borderId="0" xfId="71" applyFont="1" applyFill="1"/>
    <xf numFmtId="0" fontId="46" fillId="32" borderId="0" xfId="71" applyFont="1" applyFill="1"/>
    <xf numFmtId="0" fontId="45" fillId="32" borderId="0" xfId="71" applyFont="1" applyFill="1"/>
    <xf numFmtId="0" fontId="43" fillId="32" borderId="0" xfId="71" applyFont="1" applyFill="1"/>
    <xf numFmtId="0" fontId="36" fillId="28" borderId="0" xfId="71" applyFont="1" applyFill="1" applyAlignment="1">
      <alignment horizontal="center" vertical="center"/>
    </xf>
    <xf numFmtId="0" fontId="35" fillId="28" borderId="0" xfId="71" applyFont="1" applyFill="1" applyAlignment="1">
      <alignment horizontal="center" vertical="center"/>
    </xf>
    <xf numFmtId="0" fontId="35" fillId="28" borderId="0" xfId="0" applyFont="1" applyFill="1"/>
    <xf numFmtId="0" fontId="35" fillId="28" borderId="0" xfId="0" applyFont="1" applyFill="1" applyAlignment="1">
      <alignment horizontal="right"/>
    </xf>
    <xf numFmtId="0" fontId="41" fillId="28" borderId="15" xfId="0" applyFont="1" applyFill="1" applyBorder="1" applyAlignment="1">
      <alignment wrapText="1"/>
    </xf>
    <xf numFmtId="169" fontId="35" fillId="29" borderId="9" xfId="71" applyNumberFormat="1" applyFont="1" applyFill="1" applyBorder="1" applyAlignment="1">
      <alignment horizontal="center" vertical="center"/>
    </xf>
    <xf numFmtId="49" fontId="41" fillId="29" borderId="15" xfId="0" applyNumberFormat="1" applyFont="1" applyFill="1" applyBorder="1" applyAlignment="1">
      <alignment horizontal="left" wrapText="1"/>
    </xf>
    <xf numFmtId="164" fontId="39" fillId="33" borderId="9" xfId="0" applyNumberFormat="1" applyFont="1" applyFill="1" applyBorder="1" applyAlignment="1">
      <alignment horizontal="center" vertical="center"/>
    </xf>
    <xf numFmtId="2" fontId="35" fillId="33" borderId="9" xfId="71" applyNumberFormat="1" applyFont="1" applyFill="1" applyBorder="1" applyAlignment="1">
      <alignment horizontal="center" vertical="center"/>
    </xf>
    <xf numFmtId="0" fontId="42" fillId="33" borderId="9" xfId="71" applyFont="1" applyFill="1" applyBorder="1" applyAlignment="1">
      <alignment horizontal="center" vertical="center"/>
    </xf>
    <xf numFmtId="0" fontId="35" fillId="33" borderId="9" xfId="71" applyFont="1" applyFill="1" applyBorder="1" applyAlignment="1">
      <alignment horizontal="center" vertical="center"/>
    </xf>
    <xf numFmtId="169" fontId="35" fillId="33" borderId="9" xfId="71" applyNumberFormat="1" applyFont="1" applyFill="1" applyBorder="1" applyAlignment="1">
      <alignment horizontal="center" vertical="center"/>
    </xf>
    <xf numFmtId="2" fontId="35" fillId="33" borderId="20" xfId="71" applyNumberFormat="1" applyFont="1" applyFill="1" applyBorder="1" applyAlignment="1">
      <alignment horizontal="center" vertical="center"/>
    </xf>
    <xf numFmtId="49" fontId="41" fillId="33" borderId="21" xfId="0" applyNumberFormat="1" applyFont="1" applyFill="1" applyBorder="1" applyAlignment="1">
      <alignment horizontal="left" vertical="center" wrapText="1"/>
    </xf>
    <xf numFmtId="49" fontId="41" fillId="33" borderId="15" xfId="0" applyNumberFormat="1" applyFont="1" applyFill="1" applyBorder="1" applyAlignment="1">
      <alignment horizontal="left" wrapText="1"/>
    </xf>
    <xf numFmtId="1" fontId="35" fillId="33" borderId="16" xfId="71" applyNumberFormat="1" applyFont="1" applyFill="1" applyBorder="1" applyAlignment="1">
      <alignment horizontal="center" vertical="center"/>
    </xf>
    <xf numFmtId="0" fontId="41" fillId="0" borderId="9" xfId="71" applyFont="1" applyBorder="1" applyAlignment="1">
      <alignment horizontal="center" vertical="center" wrapText="1"/>
    </xf>
    <xf numFmtId="0" fontId="41" fillId="0" borderId="15" xfId="56" applyFont="1" applyBorder="1" applyAlignment="1">
      <alignment horizontal="left" vertical="center" wrapText="1"/>
    </xf>
    <xf numFmtId="2" fontId="35" fillId="0" borderId="16" xfId="71" applyNumberFormat="1" applyFont="1" applyBorder="1" applyAlignment="1">
      <alignment horizontal="center"/>
    </xf>
    <xf numFmtId="49" fontId="41" fillId="30" borderId="15" xfId="0" applyNumberFormat="1" applyFont="1" applyFill="1" applyBorder="1" applyAlignment="1">
      <alignment horizontal="left" wrapText="1"/>
    </xf>
    <xf numFmtId="49" fontId="41" fillId="28" borderId="15" xfId="0" applyNumberFormat="1" applyFont="1" applyFill="1" applyBorder="1" applyAlignment="1">
      <alignment horizontal="left" vertical="top" wrapText="1"/>
    </xf>
    <xf numFmtId="2" fontId="35" fillId="33" borderId="16" xfId="71" applyNumberFormat="1" applyFont="1" applyFill="1" applyBorder="1" applyAlignment="1">
      <alignment horizontal="center" vertical="center"/>
    </xf>
    <xf numFmtId="0" fontId="38" fillId="29" borderId="9" xfId="71" applyFont="1" applyFill="1" applyBorder="1" applyAlignment="1">
      <alignment horizontal="center" vertical="center" wrapText="1"/>
    </xf>
    <xf numFmtId="169" fontId="36" fillId="29" borderId="9" xfId="71" applyNumberFormat="1" applyFont="1" applyFill="1" applyBorder="1" applyAlignment="1">
      <alignment horizontal="center" vertical="center"/>
    </xf>
    <xf numFmtId="2" fontId="35" fillId="30" borderId="16" xfId="71" applyNumberFormat="1" applyFont="1" applyFill="1" applyBorder="1" applyAlignment="1">
      <alignment horizontal="center" vertical="center"/>
    </xf>
    <xf numFmtId="49" fontId="41" fillId="30" borderId="15" xfId="0" applyNumberFormat="1" applyFont="1" applyFill="1" applyBorder="1" applyAlignment="1">
      <alignment horizontal="left" vertical="center" wrapText="1"/>
    </xf>
    <xf numFmtId="0" fontId="36" fillId="0" borderId="0" xfId="71" applyFont="1" applyFill="1" applyAlignment="1">
      <alignment horizontal="center" vertical="center"/>
    </xf>
    <xf numFmtId="0" fontId="35" fillId="0" borderId="0" xfId="71" applyFont="1" applyFill="1" applyAlignment="1">
      <alignment horizontal="center" vertical="center"/>
    </xf>
    <xf numFmtId="2" fontId="35" fillId="0" borderId="0" xfId="71" applyNumberFormat="1" applyFont="1" applyFill="1"/>
    <xf numFmtId="2" fontId="35" fillId="0" borderId="0" xfId="71" applyNumberFormat="1" applyFont="1" applyFill="1" applyAlignment="1">
      <alignment horizontal="center" vertical="center"/>
    </xf>
    <xf numFmtId="1" fontId="43" fillId="0" borderId="0" xfId="71" applyNumberFormat="1" applyFont="1" applyFill="1" applyAlignment="1">
      <alignment horizontal="center" vertical="center"/>
    </xf>
    <xf numFmtId="14" fontId="43" fillId="0" borderId="0" xfId="71" applyNumberFormat="1" applyFont="1" applyFill="1" applyAlignment="1">
      <alignment horizontal="center" vertical="center"/>
    </xf>
    <xf numFmtId="164" fontId="36" fillId="0" borderId="0" xfId="71" applyNumberFormat="1" applyFont="1" applyFill="1" applyAlignment="1">
      <alignment horizontal="center" vertical="center"/>
    </xf>
    <xf numFmtId="2" fontId="43" fillId="0" borderId="0" xfId="71" applyNumberFormat="1" applyFont="1" applyFill="1" applyAlignment="1">
      <alignment horizontal="center" vertical="center"/>
    </xf>
    <xf numFmtId="0" fontId="44" fillId="0" borderId="0" xfId="71" applyFont="1" applyFill="1" applyAlignment="1">
      <alignment horizontal="center" vertical="top"/>
    </xf>
    <xf numFmtId="0" fontId="35" fillId="0" borderId="0" xfId="71" applyFont="1" applyFill="1" applyAlignment="1">
      <alignment vertical="center"/>
    </xf>
    <xf numFmtId="0" fontId="37" fillId="0" borderId="8" xfId="71" applyFont="1" applyFill="1" applyBorder="1" applyAlignment="1">
      <alignment horizontal="left" vertical="center"/>
    </xf>
    <xf numFmtId="0" fontId="35" fillId="0" borderId="0" xfId="71" applyFont="1" applyFill="1" applyAlignment="1">
      <alignment horizontal="left" vertical="center" wrapText="1"/>
    </xf>
    <xf numFmtId="0" fontId="37" fillId="0" borderId="0" xfId="71" applyFont="1" applyFill="1" applyAlignment="1">
      <alignment horizontal="center" vertical="center"/>
    </xf>
    <xf numFmtId="0" fontId="37" fillId="0" borderId="8" xfId="71" applyFont="1" applyFill="1" applyBorder="1" applyAlignment="1">
      <alignment horizontal="center" vertical="center"/>
    </xf>
    <xf numFmtId="169" fontId="37" fillId="0" borderId="8" xfId="71" applyNumberFormat="1" applyFont="1" applyFill="1" applyBorder="1" applyAlignment="1">
      <alignment horizontal="center" vertical="center"/>
    </xf>
    <xf numFmtId="0" fontId="34" fillId="0" borderId="0" xfId="71" applyFont="1" applyFill="1" applyAlignment="1">
      <alignment horizontal="center" vertical="center"/>
    </xf>
    <xf numFmtId="0" fontId="41" fillId="0" borderId="0" xfId="71" applyFont="1" applyFill="1" applyAlignment="1">
      <alignment horizontal="center" vertical="center"/>
    </xf>
    <xf numFmtId="2" fontId="41" fillId="0" borderId="0" xfId="71" applyNumberFormat="1" applyFont="1" applyFill="1" applyAlignment="1">
      <alignment horizontal="right" indent="1"/>
    </xf>
  </cellXfs>
  <cellStyles count="72">
    <cellStyle name="_969 Сузун Глубина-день 49 дней" xfId="1" xr:uid="{00000000-0005-0000-0000-000000000000}"/>
    <cellStyle name="_План" xfId="2" xr:uid="{00000000-0005-0000-0000-000001000000}"/>
    <cellStyle name="20% - Accent1" xfId="3" xr:uid="{00000000-0005-0000-0000-000002000000}"/>
    <cellStyle name="20% - Accent2" xfId="4" xr:uid="{00000000-0005-0000-0000-000003000000}"/>
    <cellStyle name="20% - Accent3" xfId="5" xr:uid="{00000000-0005-0000-0000-000004000000}"/>
    <cellStyle name="20% - Accent4" xfId="6" xr:uid="{00000000-0005-0000-0000-000005000000}"/>
    <cellStyle name="20% - Accent5" xfId="7" xr:uid="{00000000-0005-0000-0000-000006000000}"/>
    <cellStyle name="20% - Accent6" xfId="8" xr:uid="{00000000-0005-0000-0000-000007000000}"/>
    <cellStyle name="40% - Accent1" xfId="9" xr:uid="{00000000-0005-0000-0000-000008000000}"/>
    <cellStyle name="40% - Accent2" xfId="10" xr:uid="{00000000-0005-0000-0000-000009000000}"/>
    <cellStyle name="40% - Accent3" xfId="11" xr:uid="{00000000-0005-0000-0000-00000A000000}"/>
    <cellStyle name="40% - Accent4" xfId="12" xr:uid="{00000000-0005-0000-0000-00000B000000}"/>
    <cellStyle name="40% - Accent5" xfId="13" xr:uid="{00000000-0005-0000-0000-00000C000000}"/>
    <cellStyle name="40% - Accent6" xfId="14" xr:uid="{00000000-0005-0000-0000-00000D000000}"/>
    <cellStyle name="60% - Accent1" xfId="15" xr:uid="{00000000-0005-0000-0000-00000E000000}"/>
    <cellStyle name="60% - Accent2" xfId="16" xr:uid="{00000000-0005-0000-0000-00000F000000}"/>
    <cellStyle name="60% - Accent3" xfId="17" xr:uid="{00000000-0005-0000-0000-000010000000}"/>
    <cellStyle name="60% - Accent4" xfId="18" xr:uid="{00000000-0005-0000-0000-000011000000}"/>
    <cellStyle name="60% - Accent5" xfId="19" xr:uid="{00000000-0005-0000-0000-000012000000}"/>
    <cellStyle name="60% - Accent6" xfId="20" xr:uid="{00000000-0005-0000-0000-000013000000}"/>
    <cellStyle name="Accent1" xfId="21" xr:uid="{00000000-0005-0000-0000-000014000000}"/>
    <cellStyle name="Accent2" xfId="22" xr:uid="{00000000-0005-0000-0000-000015000000}"/>
    <cellStyle name="Accent3" xfId="23" xr:uid="{00000000-0005-0000-0000-000016000000}"/>
    <cellStyle name="Accent4" xfId="24" xr:uid="{00000000-0005-0000-0000-000017000000}"/>
    <cellStyle name="Accent5" xfId="25" xr:uid="{00000000-0005-0000-0000-000018000000}"/>
    <cellStyle name="Accent6" xfId="26" xr:uid="{00000000-0005-0000-0000-000019000000}"/>
    <cellStyle name="args.style" xfId="27" xr:uid="{00000000-0005-0000-0000-00001A000000}"/>
    <cellStyle name="Bad" xfId="28" xr:uid="{00000000-0005-0000-0000-00001B000000}"/>
    <cellStyle name="Body" xfId="29" xr:uid="{00000000-0005-0000-0000-00001C000000}"/>
    <cellStyle name="Calc Currency (0)" xfId="30" xr:uid="{00000000-0005-0000-0000-00001D000000}"/>
    <cellStyle name="Calculation" xfId="31" xr:uid="{00000000-0005-0000-0000-00001E000000}"/>
    <cellStyle name="Check Cell" xfId="32" xr:uid="{00000000-0005-0000-0000-00001F000000}"/>
    <cellStyle name="Copied" xfId="33" xr:uid="{00000000-0005-0000-0000-000020000000}"/>
    <cellStyle name="Dezimal [0]_NEGS" xfId="34" xr:uid="{00000000-0005-0000-0000-000021000000}"/>
    <cellStyle name="Dezimal_NEGS" xfId="35" xr:uid="{00000000-0005-0000-0000-000022000000}"/>
    <cellStyle name="Entered" xfId="36" xr:uid="{00000000-0005-0000-0000-000023000000}"/>
    <cellStyle name="Explanatory Text" xfId="37" xr:uid="{00000000-0005-0000-0000-000024000000}"/>
    <cellStyle name="form" xfId="38" xr:uid="{00000000-0005-0000-0000-000025000000}"/>
    <cellStyle name="Good" xfId="39" xr:uid="{00000000-0005-0000-0000-000026000000}"/>
    <cellStyle name="Grey" xfId="40" xr:uid="{00000000-0005-0000-0000-000027000000}"/>
    <cellStyle name="Head 1" xfId="41" xr:uid="{00000000-0005-0000-0000-000028000000}"/>
    <cellStyle name="Header1" xfId="42" xr:uid="{00000000-0005-0000-0000-000029000000}"/>
    <cellStyle name="Header2" xfId="43" xr:uid="{00000000-0005-0000-0000-00002A000000}"/>
    <cellStyle name="Heading 1" xfId="44" xr:uid="{00000000-0005-0000-0000-00002B000000}"/>
    <cellStyle name="Heading 2" xfId="45" xr:uid="{00000000-0005-0000-0000-00002C000000}"/>
    <cellStyle name="Heading 3" xfId="46" xr:uid="{00000000-0005-0000-0000-00002D000000}"/>
    <cellStyle name="Heading 4" xfId="47" xr:uid="{00000000-0005-0000-0000-00002E000000}"/>
    <cellStyle name="HEADINGS" xfId="48" xr:uid="{00000000-0005-0000-0000-00002F000000}"/>
    <cellStyle name="HEADINGSTOP" xfId="49" xr:uid="{00000000-0005-0000-0000-000030000000}"/>
    <cellStyle name="Input" xfId="50" xr:uid="{00000000-0005-0000-0000-000031000000}"/>
    <cellStyle name="Input [yellow]" xfId="51" xr:uid="{00000000-0005-0000-0000-000032000000}"/>
    <cellStyle name="Linked Cell" xfId="52" xr:uid="{00000000-0005-0000-0000-000033000000}"/>
    <cellStyle name="Neutral" xfId="53" xr:uid="{00000000-0005-0000-0000-000034000000}"/>
    <cellStyle name="Normal - Style1" xfId="54" xr:uid="{00000000-0005-0000-0000-000035000000}"/>
    <cellStyle name="Normal_2-13-03   16.04.05" xfId="55" xr:uid="{00000000-0005-0000-0000-000036000000}"/>
    <cellStyle name="Normal_Well Construction Speed" xfId="56" xr:uid="{00000000-0005-0000-0000-000037000000}"/>
    <cellStyle name="Note" xfId="57" xr:uid="{00000000-0005-0000-0000-000038000000}"/>
    <cellStyle name="Output" xfId="58" xr:uid="{00000000-0005-0000-0000-000039000000}"/>
    <cellStyle name="per.style" xfId="59" xr:uid="{00000000-0005-0000-0000-00003A000000}"/>
    <cellStyle name="Percent [2]" xfId="60" xr:uid="{00000000-0005-0000-0000-00003B000000}"/>
    <cellStyle name="regstoresfromspecstores" xfId="61" xr:uid="{00000000-0005-0000-0000-00003C000000}"/>
    <cellStyle name="RevList" xfId="62" xr:uid="{00000000-0005-0000-0000-00003D000000}"/>
    <cellStyle name="SHADEDSTORES" xfId="63" xr:uid="{00000000-0005-0000-0000-00003E000000}"/>
    <cellStyle name="Shell" xfId="64" xr:uid="{00000000-0005-0000-0000-00003F000000}"/>
    <cellStyle name="specstores" xfId="65" xr:uid="{00000000-0005-0000-0000-000040000000}"/>
    <cellStyle name="Standard_NEGS" xfId="66" xr:uid="{00000000-0005-0000-0000-000041000000}"/>
    <cellStyle name="Subtotal" xfId="67" xr:uid="{00000000-0005-0000-0000-000042000000}"/>
    <cellStyle name="Title" xfId="68" xr:uid="{00000000-0005-0000-0000-000043000000}"/>
    <cellStyle name="Total" xfId="69" xr:uid="{00000000-0005-0000-0000-000044000000}"/>
    <cellStyle name="Warning Text" xfId="70" xr:uid="{00000000-0005-0000-0000-000045000000}"/>
    <cellStyle name="Обычный" xfId="0" builtinId="0"/>
    <cellStyle name="Обычный_график глубина-день Ю-Сз-1" xfId="71" xr:uid="{00000000-0005-0000-0000-000047000000}"/>
  </cellStyles>
  <dxfs count="0"/>
  <tableStyles count="0" defaultTableStyle="TableStyleMedium9" defaultPivotStyle="PivotStyleLight16"/>
  <colors>
    <mruColors>
      <color rgb="FFFCD5B4"/>
      <color rgb="FF9BBB59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6652164570912"/>
          <c:y val="1.2428425331929421E-2"/>
          <c:w val="0.88217478430131058"/>
          <c:h val="0.94643613300112217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'План (2)'!$J$6:$J$94</c:f>
              <c:numCache>
                <c:formatCode>0.00</c:formatCode>
                <c:ptCount val="89"/>
                <c:pt idx="0">
                  <c:v>2.7777777777777776E-2</c:v>
                </c:pt>
                <c:pt idx="1">
                  <c:v>0.20925925925925926</c:v>
                </c:pt>
                <c:pt idx="2">
                  <c:v>0.37708333333333333</c:v>
                </c:pt>
                <c:pt idx="3">
                  <c:v>0.40486111111111112</c:v>
                </c:pt>
                <c:pt idx="4">
                  <c:v>0.49861111111111112</c:v>
                </c:pt>
                <c:pt idx="5">
                  <c:v>0.60277777777777775</c:v>
                </c:pt>
                <c:pt idx="6">
                  <c:v>1.2694444444444444</c:v>
                </c:pt>
                <c:pt idx="7">
                  <c:v>1.4412439613526569</c:v>
                </c:pt>
                <c:pt idx="8">
                  <c:v>1.560071121846484</c:v>
                </c:pt>
                <c:pt idx="9">
                  <c:v>1.5670155662909284</c:v>
                </c:pt>
                <c:pt idx="10">
                  <c:v>1.6503488996242617</c:v>
                </c:pt>
                <c:pt idx="11">
                  <c:v>2.1557219233396765</c:v>
                </c:pt>
                <c:pt idx="12">
                  <c:v>2.2036385900063431</c:v>
                </c:pt>
                <c:pt idx="13">
                  <c:v>2.3121832759966812</c:v>
                </c:pt>
                <c:pt idx="14">
                  <c:v>2.6038499426633477</c:v>
                </c:pt>
                <c:pt idx="15">
                  <c:v>2.7003005599472982</c:v>
                </c:pt>
                <c:pt idx="16">
                  <c:v>2.7628005599472982</c:v>
                </c:pt>
                <c:pt idx="17">
                  <c:v>2.8735258685892737</c:v>
                </c:pt>
                <c:pt idx="18">
                  <c:v>2.9776925352559402</c:v>
                </c:pt>
                <c:pt idx="19">
                  <c:v>3.1026925352559402</c:v>
                </c:pt>
                <c:pt idx="20">
                  <c:v>3.3428797333235729</c:v>
                </c:pt>
                <c:pt idx="21">
                  <c:v>3.4782963999902394</c:v>
                </c:pt>
                <c:pt idx="22">
                  <c:v>3.6032963999902394</c:v>
                </c:pt>
                <c:pt idx="23">
                  <c:v>4.6032963999902394</c:v>
                </c:pt>
                <c:pt idx="24">
                  <c:v>6.1032963999902394</c:v>
                </c:pt>
                <c:pt idx="25">
                  <c:v>6.3505790086858918</c:v>
                </c:pt>
                <c:pt idx="26">
                  <c:v>6.5241901197970025</c:v>
                </c:pt>
                <c:pt idx="27">
                  <c:v>6.6374147574781617</c:v>
                </c:pt>
                <c:pt idx="28">
                  <c:v>6.8457480908114947</c:v>
                </c:pt>
                <c:pt idx="29">
                  <c:v>8.4438912067535234</c:v>
                </c:pt>
                <c:pt idx="30">
                  <c:v>8.9307571487825097</c:v>
                </c:pt>
                <c:pt idx="31">
                  <c:v>9.0140904821158436</c:v>
                </c:pt>
                <c:pt idx="32">
                  <c:v>9.1739636705216405</c:v>
                </c:pt>
                <c:pt idx="33">
                  <c:v>9.6531303371883066</c:v>
                </c:pt>
                <c:pt idx="34">
                  <c:v>10.653130337188307</c:v>
                </c:pt>
                <c:pt idx="35">
                  <c:v>10.736463670521641</c:v>
                </c:pt>
                <c:pt idx="36">
                  <c:v>10.863463972454008</c:v>
                </c:pt>
                <c:pt idx="37">
                  <c:v>11.030130639120674</c:v>
                </c:pt>
                <c:pt idx="38">
                  <c:v>11.190003827526471</c:v>
                </c:pt>
                <c:pt idx="39">
                  <c:v>11.273337160859805</c:v>
                </c:pt>
                <c:pt idx="40">
                  <c:v>11.398337160859805</c:v>
                </c:pt>
                <c:pt idx="41">
                  <c:v>12.002503827526471</c:v>
                </c:pt>
                <c:pt idx="42">
                  <c:v>12.127503827526471</c:v>
                </c:pt>
                <c:pt idx="43">
                  <c:v>12.294170494193137</c:v>
                </c:pt>
                <c:pt idx="44">
                  <c:v>12.960837160859803</c:v>
                </c:pt>
                <c:pt idx="45">
                  <c:v>14.044170494193137</c:v>
                </c:pt>
                <c:pt idx="46">
                  <c:v>14.6519603492656</c:v>
                </c:pt>
                <c:pt idx="47">
                  <c:v>14.9019603492656</c:v>
                </c:pt>
                <c:pt idx="48">
                  <c:v>15.253409624627919</c:v>
                </c:pt>
                <c:pt idx="49">
                  <c:v>15.482576291294585</c:v>
                </c:pt>
                <c:pt idx="50">
                  <c:v>17.526658416898449</c:v>
                </c:pt>
                <c:pt idx="51">
                  <c:v>17.722260268750301</c:v>
                </c:pt>
                <c:pt idx="52">
                  <c:v>19.69990972527204</c:v>
                </c:pt>
                <c:pt idx="53">
                  <c:v>20.041621681793778</c:v>
                </c:pt>
                <c:pt idx="54">
                  <c:v>20.208288348460446</c:v>
                </c:pt>
                <c:pt idx="55">
                  <c:v>28.208288348460446</c:v>
                </c:pt>
                <c:pt idx="56">
                  <c:v>28.416621681793778</c:v>
                </c:pt>
                <c:pt idx="57">
                  <c:v>28.82279619870199</c:v>
                </c:pt>
                <c:pt idx="58">
                  <c:v>30.866878324305855</c:v>
                </c:pt>
                <c:pt idx="59">
                  <c:v>31.058454411262378</c:v>
                </c:pt>
                <c:pt idx="60">
                  <c:v>32.506597527204406</c:v>
                </c:pt>
                <c:pt idx="61">
                  <c:v>38.506597527204406</c:v>
                </c:pt>
                <c:pt idx="63">
                  <c:v>39.027883759088461</c:v>
                </c:pt>
                <c:pt idx="64">
                  <c:v>39.538904290489427</c:v>
                </c:pt>
                <c:pt idx="65">
                  <c:v>40.478668783243052</c:v>
                </c:pt>
                <c:pt idx="66">
                  <c:v>40.562002116576387</c:v>
                </c:pt>
                <c:pt idx="67">
                  <c:v>41.064493058605372</c:v>
                </c:pt>
                <c:pt idx="68">
                  <c:v>41.231159725272036</c:v>
                </c:pt>
                <c:pt idx="69">
                  <c:v>42.731159725272036</c:v>
                </c:pt>
                <c:pt idx="70">
                  <c:v>42.814493058605372</c:v>
                </c:pt>
                <c:pt idx="71">
                  <c:v>43.229650063436289</c:v>
                </c:pt>
                <c:pt idx="72">
                  <c:v>43.396316730102953</c:v>
                </c:pt>
                <c:pt idx="73">
                  <c:v>44.357820353291359</c:v>
                </c:pt>
                <c:pt idx="74">
                  <c:v>44.607820353291359</c:v>
                </c:pt>
                <c:pt idx="75">
                  <c:v>44.774487019958023</c:v>
                </c:pt>
                <c:pt idx="76">
                  <c:v>45.732699580344494</c:v>
                </c:pt>
                <c:pt idx="77">
                  <c:v>45.857699580344494</c:v>
                </c:pt>
                <c:pt idx="78">
                  <c:v>46.56603291367783</c:v>
                </c:pt>
                <c:pt idx="79">
                  <c:v>47.56603291367783</c:v>
                </c:pt>
                <c:pt idx="80">
                  <c:v>47.649366247011166</c:v>
                </c:pt>
                <c:pt idx="81">
                  <c:v>48.401630739764791</c:v>
                </c:pt>
                <c:pt idx="82">
                  <c:v>48.547464073098126</c:v>
                </c:pt>
                <c:pt idx="83">
                  <c:v>48.916576391938705</c:v>
                </c:pt>
                <c:pt idx="84">
                  <c:v>49.083243058605369</c:v>
                </c:pt>
                <c:pt idx="85">
                  <c:v>50.079619870199572</c:v>
                </c:pt>
                <c:pt idx="86">
                  <c:v>51.079619870199572</c:v>
                </c:pt>
                <c:pt idx="87">
                  <c:v>51.829619870199572</c:v>
                </c:pt>
                <c:pt idx="88">
                  <c:v>54.431517530376219</c:v>
                </c:pt>
              </c:numCache>
            </c:numRef>
          </c:xVal>
          <c:yVal>
            <c:numRef>
              <c:f>'План (2)'!$E$6:$E$94</c:f>
              <c:numCache>
                <c:formatCode>General</c:formatCode>
                <c:ptCount val="89"/>
                <c:pt idx="0">
                  <c:v>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33</c:v>
                </c:pt>
                <c:pt idx="11">
                  <c:v>200</c:v>
                </c:pt>
                <c:pt idx="12">
                  <c:v>200</c:v>
                </c:pt>
                <c:pt idx="13">
                  <c:v>200</c:v>
                </c:pt>
                <c:pt idx="14">
                  <c:v>200</c:v>
                </c:pt>
                <c:pt idx="15">
                  <c:v>200</c:v>
                </c:pt>
                <c:pt idx="16">
                  <c:v>200</c:v>
                </c:pt>
                <c:pt idx="17">
                  <c:v>200</c:v>
                </c:pt>
                <c:pt idx="18">
                  <c:v>200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  <c:pt idx="22">
                  <c:v>200</c:v>
                </c:pt>
                <c:pt idx="23">
                  <c:v>200</c:v>
                </c:pt>
                <c:pt idx="24">
                  <c:v>200</c:v>
                </c:pt>
                <c:pt idx="25">
                  <c:v>200</c:v>
                </c:pt>
                <c:pt idx="26">
                  <c:v>200</c:v>
                </c:pt>
                <c:pt idx="27">
                  <c:v>200</c:v>
                </c:pt>
                <c:pt idx="28">
                  <c:v>203</c:v>
                </c:pt>
                <c:pt idx="29">
                  <c:v>700</c:v>
                </c:pt>
                <c:pt idx="30">
                  <c:v>700</c:v>
                </c:pt>
                <c:pt idx="31">
                  <c:v>700</c:v>
                </c:pt>
                <c:pt idx="32">
                  <c:v>700</c:v>
                </c:pt>
                <c:pt idx="33">
                  <c:v>700</c:v>
                </c:pt>
                <c:pt idx="34">
                  <c:v>700</c:v>
                </c:pt>
                <c:pt idx="35">
                  <c:v>700</c:v>
                </c:pt>
                <c:pt idx="36">
                  <c:v>700</c:v>
                </c:pt>
                <c:pt idx="37">
                  <c:v>700</c:v>
                </c:pt>
                <c:pt idx="38">
                  <c:v>700</c:v>
                </c:pt>
                <c:pt idx="39">
                  <c:v>700</c:v>
                </c:pt>
                <c:pt idx="40">
                  <c:v>700</c:v>
                </c:pt>
                <c:pt idx="41">
                  <c:v>700</c:v>
                </c:pt>
                <c:pt idx="42">
                  <c:v>700</c:v>
                </c:pt>
                <c:pt idx="43">
                  <c:v>700</c:v>
                </c:pt>
                <c:pt idx="44">
                  <c:v>700</c:v>
                </c:pt>
                <c:pt idx="45">
                  <c:v>700</c:v>
                </c:pt>
                <c:pt idx="46">
                  <c:v>700</c:v>
                </c:pt>
                <c:pt idx="47">
                  <c:v>700</c:v>
                </c:pt>
                <c:pt idx="48">
                  <c:v>700</c:v>
                </c:pt>
                <c:pt idx="49">
                  <c:v>703</c:v>
                </c:pt>
                <c:pt idx="50">
                  <c:v>1103</c:v>
                </c:pt>
                <c:pt idx="51">
                  <c:v>1103</c:v>
                </c:pt>
                <c:pt idx="52">
                  <c:v>1490</c:v>
                </c:pt>
                <c:pt idx="53">
                  <c:v>1490</c:v>
                </c:pt>
                <c:pt idx="54">
                  <c:v>1490</c:v>
                </c:pt>
                <c:pt idx="55">
                  <c:v>1490</c:v>
                </c:pt>
                <c:pt idx="56">
                  <c:v>1490</c:v>
                </c:pt>
                <c:pt idx="57">
                  <c:v>1490</c:v>
                </c:pt>
                <c:pt idx="58">
                  <c:v>1890</c:v>
                </c:pt>
                <c:pt idx="59">
                  <c:v>1890</c:v>
                </c:pt>
                <c:pt idx="60">
                  <c:v>2100</c:v>
                </c:pt>
                <c:pt idx="61">
                  <c:v>2100</c:v>
                </c:pt>
                <c:pt idx="62">
                  <c:v>2100</c:v>
                </c:pt>
                <c:pt idx="63">
                  <c:v>2100</c:v>
                </c:pt>
                <c:pt idx="64">
                  <c:v>2200</c:v>
                </c:pt>
                <c:pt idx="65">
                  <c:v>2200</c:v>
                </c:pt>
                <c:pt idx="66">
                  <c:v>2200</c:v>
                </c:pt>
                <c:pt idx="67">
                  <c:v>2200</c:v>
                </c:pt>
                <c:pt idx="68">
                  <c:v>2200</c:v>
                </c:pt>
                <c:pt idx="69">
                  <c:v>2200</c:v>
                </c:pt>
                <c:pt idx="70">
                  <c:v>2200</c:v>
                </c:pt>
                <c:pt idx="71">
                  <c:v>2200</c:v>
                </c:pt>
                <c:pt idx="72">
                  <c:v>2200</c:v>
                </c:pt>
                <c:pt idx="73">
                  <c:v>2200</c:v>
                </c:pt>
                <c:pt idx="74">
                  <c:v>2200</c:v>
                </c:pt>
                <c:pt idx="75">
                  <c:v>2200</c:v>
                </c:pt>
                <c:pt idx="76">
                  <c:v>2200</c:v>
                </c:pt>
                <c:pt idx="77">
                  <c:v>2200</c:v>
                </c:pt>
                <c:pt idx="78">
                  <c:v>2200</c:v>
                </c:pt>
                <c:pt idx="79">
                  <c:v>2200</c:v>
                </c:pt>
                <c:pt idx="80">
                  <c:v>2200</c:v>
                </c:pt>
                <c:pt idx="81">
                  <c:v>2200</c:v>
                </c:pt>
                <c:pt idx="82">
                  <c:v>2200</c:v>
                </c:pt>
                <c:pt idx="83">
                  <c:v>2200</c:v>
                </c:pt>
                <c:pt idx="84">
                  <c:v>2200</c:v>
                </c:pt>
                <c:pt idx="85">
                  <c:v>2200</c:v>
                </c:pt>
                <c:pt idx="86">
                  <c:v>2200</c:v>
                </c:pt>
                <c:pt idx="87">
                  <c:v>2200</c:v>
                </c:pt>
                <c:pt idx="88">
                  <c:v>2200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3F-4900-BF19-6DAF8D042E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232472"/>
        <c:axId val="186232864"/>
      </c:scatterChart>
      <c:valAx>
        <c:axId val="186232472"/>
        <c:scaling>
          <c:orientation val="minMax"/>
          <c:max val="80"/>
          <c:min val="0"/>
        </c:scaling>
        <c:delete val="0"/>
        <c:axPos val="t"/>
        <c:majorGridlines>
          <c:spPr>
            <a:ln>
              <a:solidFill>
                <a:schemeClr val="accent1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50"/>
            </a:pPr>
            <a:endParaRPr lang="ru-RU"/>
          </a:p>
        </c:txPr>
        <c:crossAx val="186232864"/>
        <c:crosses val="autoZero"/>
        <c:crossBetween val="midCat"/>
        <c:majorUnit val="2"/>
      </c:valAx>
      <c:valAx>
        <c:axId val="186232864"/>
        <c:scaling>
          <c:orientation val="maxMin"/>
          <c:max val="3100"/>
          <c:min val="0"/>
        </c:scaling>
        <c:delete val="0"/>
        <c:axPos val="l"/>
        <c:majorGridlines>
          <c:spPr>
            <a:ln>
              <a:solidFill>
                <a:schemeClr val="accent1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txPr>
          <a:bodyPr rot="0" vert="horz"/>
          <a:lstStyle/>
          <a:p>
            <a:pPr>
              <a:defRPr sz="1050"/>
            </a:pPr>
            <a:endParaRPr lang="ru-RU"/>
          </a:p>
        </c:txPr>
        <c:crossAx val="186232472"/>
        <c:crosses val="autoZero"/>
        <c:crossBetween val="midCat"/>
        <c:majorUnit val="50"/>
        <c:minorUnit val="1"/>
      </c:valAx>
    </c:plotArea>
    <c:plotVisOnly val="0"/>
    <c:dispBlanksAs val="gap"/>
    <c:showDLblsOverMax val="0"/>
  </c:chart>
  <c:spPr>
    <a:ln>
      <a:solidFill>
        <a:schemeClr val="accent1"/>
      </a:solidFill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000000000000178" l="0.70000000000000062" r="0.70000000000000062" t="0.75000000000000178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334190</xdr:colOff>
      <xdr:row>3</xdr:row>
      <xdr:rowOff>278110</xdr:rowOff>
    </xdr:from>
    <xdr:to>
      <xdr:col>24</xdr:col>
      <xdr:colOff>298704</xdr:colOff>
      <xdr:row>89</xdr:row>
      <xdr:rowOff>0</xdr:rowOff>
    </xdr:to>
    <xdr:graphicFrame macro="">
      <xdr:nvGraphicFramePr>
        <xdr:cNvPr id="4" name="Диаграмма 2">
          <a:extLst>
            <a:ext uri="{FF2B5EF4-FFF2-40B4-BE49-F238E27FC236}">
              <a16:creationId xmlns:a16="http://schemas.microsoft.com/office/drawing/2014/main" id="{F61E25C9-F086-4FBD-B1FA-FD4BF684CF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0.19403</cdr:x>
      <cdr:y>0.00665</cdr:y>
    </cdr:from>
    <cdr:to>
      <cdr:x>0.79099</cdr:x>
      <cdr:y>0.10342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576259" y="139156"/>
          <a:ext cx="7926346" cy="20259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ru-RU"/>
        </a:p>
      </cdr:txBody>
    </cdr:sp>
  </cdr:relSizeAnchor>
  <cdr:relSizeAnchor xmlns:cdr="http://schemas.openxmlformats.org/drawingml/2006/chartDrawing">
    <cdr:from>
      <cdr:x>0.11887</cdr:x>
      <cdr:y>0.00972</cdr:y>
    </cdr:from>
    <cdr:to>
      <cdr:x>0.71029</cdr:x>
      <cdr:y>0.04589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247775" y="69972"/>
          <a:ext cx="6207793" cy="260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ru-RU" sz="1600" b="1"/>
        </a:p>
      </cdr:txBody>
    </cdr:sp>
  </cdr:relSizeAnchor>
  <cdr:relSizeAnchor xmlns:cdr="http://schemas.openxmlformats.org/drawingml/2006/chartDrawing">
    <cdr:from>
      <cdr:x>0.34733</cdr:x>
      <cdr:y>0.97413</cdr:y>
    </cdr:from>
    <cdr:to>
      <cdr:x>0.76969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938009" y="12684236"/>
          <a:ext cx="4788686" cy="336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800" b="1"/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02"/>
  <sheetViews>
    <sheetView showGridLines="0" tabSelected="1" view="pageBreakPreview" zoomScaleNormal="100" zoomScaleSheetLayoutView="100" workbookViewId="0">
      <selection activeCell="H7" sqref="H7"/>
    </sheetView>
  </sheetViews>
  <sheetFormatPr defaultColWidth="9.140625" defaultRowHeight="12.75"/>
  <cols>
    <col min="1" max="1" width="3.7109375" style="1" customWidth="1"/>
    <col min="2" max="2" width="13.140625" style="3" customWidth="1"/>
    <col min="3" max="3" width="14.28515625" style="3" customWidth="1"/>
    <col min="4" max="4" width="13" style="3" customWidth="1"/>
    <col min="5" max="5" width="12.28515625" style="2" customWidth="1"/>
    <col min="6" max="6" width="12.7109375" style="3" customWidth="1"/>
    <col min="7" max="7" width="16.85546875" style="3" customWidth="1"/>
    <col min="8" max="8" width="66.85546875" style="3" customWidth="1"/>
    <col min="9" max="9" width="12.7109375" style="35" customWidth="1"/>
    <col min="10" max="10" width="13.140625" style="35" customWidth="1"/>
    <col min="11" max="11" width="12.7109375" style="1" customWidth="1"/>
    <col min="12" max="14" width="13.28515625" style="1" customWidth="1"/>
    <col min="15" max="15" width="35" style="1" customWidth="1"/>
    <col min="16" max="16384" width="9.140625" style="1"/>
  </cols>
  <sheetData>
    <row r="1" spans="2:16">
      <c r="B1" s="95"/>
      <c r="C1" s="95"/>
      <c r="D1" s="95"/>
      <c r="E1" s="86"/>
      <c r="F1" s="87"/>
      <c r="G1" s="87"/>
      <c r="H1" s="102"/>
      <c r="I1" s="103" t="s">
        <v>97</v>
      </c>
    </row>
    <row r="2" spans="2:16">
      <c r="B2" s="95"/>
      <c r="C2" s="95"/>
      <c r="D2" s="95"/>
      <c r="E2" s="86"/>
      <c r="F2" s="87"/>
      <c r="G2" s="87"/>
      <c r="H2" s="102"/>
      <c r="I2" s="103" t="s">
        <v>96</v>
      </c>
    </row>
    <row r="3" spans="2:16" ht="21" customHeight="1">
      <c r="B3" s="98" t="s">
        <v>72</v>
      </c>
      <c r="C3" s="98"/>
      <c r="D3" s="98"/>
      <c r="E3" s="98"/>
      <c r="F3" s="98"/>
      <c r="G3" s="98"/>
      <c r="H3" s="98"/>
      <c r="I3" s="88"/>
      <c r="O3" s="33"/>
      <c r="P3" s="34"/>
    </row>
    <row r="4" spans="2:16" ht="22.5" customHeight="1" thickBot="1">
      <c r="B4" s="99" t="s">
        <v>8</v>
      </c>
      <c r="C4" s="99"/>
      <c r="D4" s="99"/>
      <c r="E4" s="100">
        <v>46058.833333333336</v>
      </c>
      <c r="F4" s="100"/>
      <c r="G4" s="96" t="s">
        <v>71</v>
      </c>
      <c r="H4" s="96"/>
      <c r="I4" s="88"/>
      <c r="O4" s="33"/>
      <c r="P4" s="34"/>
    </row>
    <row r="5" spans="2:16" ht="31.9" customHeight="1">
      <c r="B5" s="4" t="s">
        <v>0</v>
      </c>
      <c r="C5" s="5" t="s">
        <v>1</v>
      </c>
      <c r="D5" s="6" t="s">
        <v>2</v>
      </c>
      <c r="E5" s="5" t="s">
        <v>3</v>
      </c>
      <c r="F5" s="5" t="s">
        <v>4</v>
      </c>
      <c r="G5" s="5" t="s">
        <v>7</v>
      </c>
      <c r="H5" s="31" t="s">
        <v>5</v>
      </c>
      <c r="I5" s="36" t="s">
        <v>9</v>
      </c>
      <c r="J5" s="35">
        <v>0</v>
      </c>
      <c r="O5" s="33"/>
      <c r="P5" s="34"/>
    </row>
    <row r="6" spans="2:16" s="15" customFormat="1" ht="14.45" customHeight="1">
      <c r="B6" s="30">
        <f>D6</f>
        <v>2.7777777777777776E-2</v>
      </c>
      <c r="C6" s="28">
        <f t="shared" ref="C6:C24" si="0">I6</f>
        <v>0.66666666666666663</v>
      </c>
      <c r="D6" s="29">
        <f t="shared" ref="D6:D52" si="1">C6/24</f>
        <v>2.7777777777777776E-2</v>
      </c>
      <c r="E6" s="16">
        <v>0</v>
      </c>
      <c r="F6" s="17">
        <v>0</v>
      </c>
      <c r="G6" s="27">
        <f>E4+D6</f>
        <v>46058.861111111117</v>
      </c>
      <c r="H6" s="23" t="s">
        <v>34</v>
      </c>
      <c r="I6" s="43">
        <f>(20/60+20/60)</f>
        <v>0.66666666666666663</v>
      </c>
      <c r="J6" s="35">
        <f>D6</f>
        <v>2.7777777777777776E-2</v>
      </c>
      <c r="K6" s="1"/>
      <c r="L6" s="1"/>
      <c r="M6" s="1"/>
      <c r="N6" s="1"/>
      <c r="O6" s="33"/>
      <c r="P6" s="34"/>
    </row>
    <row r="7" spans="2:16" s="47" customFormat="1" ht="16.899999999999999" customHeight="1">
      <c r="B7" s="26">
        <f>B6+D7</f>
        <v>0.20925925925925926</v>
      </c>
      <c r="C7" s="45">
        <f t="shared" si="0"/>
        <v>4.3555555555555561</v>
      </c>
      <c r="D7" s="13">
        <f t="shared" si="1"/>
        <v>0.18148148148148149</v>
      </c>
      <c r="E7" s="10">
        <v>30</v>
      </c>
      <c r="F7" s="76">
        <v>26</v>
      </c>
      <c r="G7" s="18">
        <f t="shared" ref="G7:G39" si="2">SUM(G6+D7)</f>
        <v>46059.042592592596</v>
      </c>
      <c r="H7" s="77" t="s">
        <v>29</v>
      </c>
      <c r="I7" s="37">
        <f>(F7/20+(E7/9*25)/60+(E7/9*30/60))</f>
        <v>4.3555555555555561</v>
      </c>
      <c r="J7" s="46">
        <f t="shared" ref="J7:J38" si="3">J6+D7</f>
        <v>0.20925925925925926</v>
      </c>
      <c r="O7" s="48"/>
      <c r="P7" s="49"/>
    </row>
    <row r="8" spans="2:16" s="47" customFormat="1" ht="16.899999999999999" customHeight="1">
      <c r="B8" s="26">
        <f t="shared" ref="B8:B74" si="4">B7+D8</f>
        <v>0.37708333333333333</v>
      </c>
      <c r="C8" s="45">
        <f t="shared" si="0"/>
        <v>4.0277777777777786</v>
      </c>
      <c r="D8" s="13">
        <f t="shared" si="1"/>
        <v>0.1678240740740741</v>
      </c>
      <c r="E8" s="10">
        <v>30</v>
      </c>
      <c r="F8" s="76">
        <v>0</v>
      </c>
      <c r="G8" s="18">
        <f t="shared" si="2"/>
        <v>46059.210416666669</v>
      </c>
      <c r="H8" s="77" t="s">
        <v>79</v>
      </c>
      <c r="I8" s="37">
        <f>((E8/9*25)/60+60/60+(E8/9*25)/60)+15/60</f>
        <v>4.0277777777777786</v>
      </c>
      <c r="J8" s="46">
        <f t="shared" si="3"/>
        <v>0.37708333333333333</v>
      </c>
      <c r="O8" s="48"/>
      <c r="P8" s="49"/>
    </row>
    <row r="9" spans="2:16" s="47" customFormat="1" ht="16.899999999999999" customHeight="1">
      <c r="B9" s="26">
        <f t="shared" si="4"/>
        <v>0.40486111111111112</v>
      </c>
      <c r="C9" s="45">
        <f t="shared" si="0"/>
        <v>0.66666666666666663</v>
      </c>
      <c r="D9" s="13">
        <f t="shared" si="1"/>
        <v>2.7777777777777776E-2</v>
      </c>
      <c r="E9" s="10">
        <v>30</v>
      </c>
      <c r="F9" s="76">
        <v>0</v>
      </c>
      <c r="G9" s="18">
        <f t="shared" si="2"/>
        <v>46059.23819444445</v>
      </c>
      <c r="H9" s="77" t="s">
        <v>30</v>
      </c>
      <c r="I9" s="37">
        <f>(20/60+20/60)</f>
        <v>0.66666666666666663</v>
      </c>
      <c r="J9" s="46">
        <f t="shared" si="3"/>
        <v>0.40486111111111112</v>
      </c>
      <c r="O9" s="48"/>
      <c r="P9" s="49"/>
    </row>
    <row r="10" spans="2:16" s="47" customFormat="1" ht="16.899999999999999" customHeight="1">
      <c r="B10" s="26">
        <f t="shared" si="4"/>
        <v>0.49861111111111112</v>
      </c>
      <c r="C10" s="45">
        <f t="shared" si="0"/>
        <v>2.25</v>
      </c>
      <c r="D10" s="13">
        <f t="shared" si="1"/>
        <v>9.375E-2</v>
      </c>
      <c r="E10" s="10">
        <v>30</v>
      </c>
      <c r="F10" s="76">
        <v>0</v>
      </c>
      <c r="G10" s="18">
        <f t="shared" si="2"/>
        <v>46059.33194444445</v>
      </c>
      <c r="H10" s="77" t="s">
        <v>31</v>
      </c>
      <c r="I10" s="37">
        <f>(1+(E10/10*25)/60)</f>
        <v>2.25</v>
      </c>
      <c r="J10" s="46">
        <f t="shared" si="3"/>
        <v>0.49861111111111112</v>
      </c>
      <c r="O10" s="48"/>
      <c r="P10" s="49"/>
    </row>
    <row r="11" spans="2:16" s="47" customFormat="1" ht="16.899999999999999" customHeight="1">
      <c r="B11" s="26">
        <f t="shared" si="4"/>
        <v>0.60277777777777775</v>
      </c>
      <c r="C11" s="45">
        <f t="shared" si="0"/>
        <v>2.5</v>
      </c>
      <c r="D11" s="13">
        <f t="shared" si="1"/>
        <v>0.10416666666666667</v>
      </c>
      <c r="E11" s="10">
        <v>30</v>
      </c>
      <c r="F11" s="76">
        <v>0</v>
      </c>
      <c r="G11" s="18">
        <f t="shared" si="2"/>
        <v>46059.436111111114</v>
      </c>
      <c r="H11" s="77" t="s">
        <v>32</v>
      </c>
      <c r="I11" s="37">
        <f>(1+1.5)</f>
        <v>2.5</v>
      </c>
      <c r="J11" s="46">
        <f t="shared" si="3"/>
        <v>0.60277777777777775</v>
      </c>
      <c r="O11" s="48"/>
      <c r="P11" s="49"/>
    </row>
    <row r="12" spans="2:16" s="47" customFormat="1" ht="16.899999999999999" customHeight="1">
      <c r="B12" s="26">
        <f t="shared" si="4"/>
        <v>1.2694444444444444</v>
      </c>
      <c r="C12" s="45">
        <f t="shared" si="0"/>
        <v>16</v>
      </c>
      <c r="D12" s="13">
        <f t="shared" si="1"/>
        <v>0.66666666666666663</v>
      </c>
      <c r="E12" s="10">
        <v>30</v>
      </c>
      <c r="F12" s="76">
        <v>0</v>
      </c>
      <c r="G12" s="18">
        <f t="shared" si="2"/>
        <v>46060.102777777778</v>
      </c>
      <c r="H12" s="77" t="s">
        <v>16</v>
      </c>
      <c r="I12" s="37">
        <v>16</v>
      </c>
      <c r="J12" s="46">
        <f t="shared" si="3"/>
        <v>1.2694444444444444</v>
      </c>
      <c r="O12" s="48"/>
      <c r="P12" s="49"/>
    </row>
    <row r="13" spans="2:16" s="47" customFormat="1" ht="16.899999999999999" customHeight="1">
      <c r="B13" s="26">
        <f t="shared" si="4"/>
        <v>1.4412439613526569</v>
      </c>
      <c r="C13" s="45">
        <f t="shared" si="0"/>
        <v>4.1231884057971016</v>
      </c>
      <c r="D13" s="13">
        <f t="shared" si="1"/>
        <v>0.17179951690821257</v>
      </c>
      <c r="E13" s="10">
        <v>30</v>
      </c>
      <c r="F13" s="76">
        <v>0</v>
      </c>
      <c r="G13" s="18">
        <f t="shared" si="2"/>
        <v>46060.274577294687</v>
      </c>
      <c r="H13" s="77" t="s">
        <v>54</v>
      </c>
      <c r="I13" s="78">
        <f>((200/9.2)*10/60)+30/60</f>
        <v>4.1231884057971016</v>
      </c>
      <c r="J13" s="46">
        <f t="shared" si="3"/>
        <v>1.4412439613526569</v>
      </c>
      <c r="O13" s="48"/>
      <c r="P13" s="49"/>
    </row>
    <row r="14" spans="2:16" s="47" customFormat="1" ht="16.899999999999999" customHeight="1">
      <c r="B14" s="41">
        <f t="shared" si="4"/>
        <v>1.560071121846484</v>
      </c>
      <c r="C14" s="28">
        <f t="shared" si="0"/>
        <v>2.8518518518518521</v>
      </c>
      <c r="D14" s="29">
        <f t="shared" si="1"/>
        <v>0.11882716049382717</v>
      </c>
      <c r="E14" s="11">
        <f>E13</f>
        <v>30</v>
      </c>
      <c r="F14" s="82">
        <v>0</v>
      </c>
      <c r="G14" s="83">
        <f t="shared" si="2"/>
        <v>46060.393404455179</v>
      </c>
      <c r="H14" s="23" t="s">
        <v>33</v>
      </c>
      <c r="I14" s="43">
        <f>(20/60+20/60+20/60+(40/9*25)/60)</f>
        <v>2.8518518518518521</v>
      </c>
      <c r="J14" s="46">
        <f t="shared" si="3"/>
        <v>1.560071121846484</v>
      </c>
      <c r="O14" s="48"/>
      <c r="P14" s="49"/>
    </row>
    <row r="15" spans="2:16" s="47" customFormat="1" ht="16.899999999999999" customHeight="1">
      <c r="B15" s="26">
        <f t="shared" si="4"/>
        <v>1.5670155662909284</v>
      </c>
      <c r="C15" s="40">
        <f t="shared" si="0"/>
        <v>0.16666666666666666</v>
      </c>
      <c r="D15" s="13">
        <f t="shared" si="1"/>
        <v>6.9444444444444441E-3</v>
      </c>
      <c r="E15" s="7">
        <f>E14</f>
        <v>30</v>
      </c>
      <c r="F15" s="8">
        <f t="shared" ref="F15" si="5">E15-E14</f>
        <v>0</v>
      </c>
      <c r="G15" s="18">
        <f t="shared" si="2"/>
        <v>46060.400348899624</v>
      </c>
      <c r="H15" s="22" t="s">
        <v>14</v>
      </c>
      <c r="I15" s="26">
        <f>(E15/18*6/60)</f>
        <v>0.16666666666666666</v>
      </c>
      <c r="J15" s="46">
        <f t="shared" si="3"/>
        <v>1.5670155662909284</v>
      </c>
      <c r="O15" s="48"/>
      <c r="P15" s="49"/>
    </row>
    <row r="16" spans="2:16" s="47" customFormat="1" ht="16.899999999999999" customHeight="1">
      <c r="B16" s="26">
        <f t="shared" si="4"/>
        <v>1.6503488996242617</v>
      </c>
      <c r="C16" s="40">
        <f t="shared" si="0"/>
        <v>2</v>
      </c>
      <c r="D16" s="13">
        <f t="shared" si="1"/>
        <v>8.3333333333333329E-2</v>
      </c>
      <c r="E16" s="10">
        <f>E15+F16</f>
        <v>33</v>
      </c>
      <c r="F16" s="8">
        <v>3</v>
      </c>
      <c r="G16" s="18">
        <f t="shared" si="2"/>
        <v>46060.48368223296</v>
      </c>
      <c r="H16" s="19" t="s">
        <v>23</v>
      </c>
      <c r="I16" s="26">
        <v>2</v>
      </c>
      <c r="J16" s="46">
        <f t="shared" si="3"/>
        <v>1.6503488996242617</v>
      </c>
      <c r="O16" s="48"/>
      <c r="P16" s="49"/>
    </row>
    <row r="17" spans="2:16" s="47" customFormat="1" ht="16.899999999999999" customHeight="1">
      <c r="B17" s="26">
        <f t="shared" si="4"/>
        <v>2.1557219233396765</v>
      </c>
      <c r="C17" s="45">
        <f t="shared" si="0"/>
        <v>12.128952569169961</v>
      </c>
      <c r="D17" s="13">
        <f t="shared" si="1"/>
        <v>0.50537302371541504</v>
      </c>
      <c r="E17" s="10">
        <f>E16+F17</f>
        <v>200</v>
      </c>
      <c r="F17" s="39">
        <v>167</v>
      </c>
      <c r="G17" s="18">
        <f t="shared" si="2"/>
        <v>46060.989055256672</v>
      </c>
      <c r="H17" s="64" t="s">
        <v>68</v>
      </c>
      <c r="I17" s="26">
        <f>(F17)/22+(F17)/18.4*5/60+(F17/18.4*25/60)</f>
        <v>12.128952569169961</v>
      </c>
      <c r="J17" s="46">
        <f t="shared" si="3"/>
        <v>2.1557219233396765</v>
      </c>
      <c r="O17" s="48"/>
      <c r="P17" s="49"/>
    </row>
    <row r="18" spans="2:16">
      <c r="B18" s="26">
        <f t="shared" si="4"/>
        <v>2.2036385900063431</v>
      </c>
      <c r="C18" s="45">
        <f t="shared" si="0"/>
        <v>1.1499999999999999</v>
      </c>
      <c r="D18" s="13">
        <f t="shared" si="1"/>
        <v>4.7916666666666663E-2</v>
      </c>
      <c r="E18" s="10">
        <f>E17+F18</f>
        <v>200</v>
      </c>
      <c r="F18" s="39">
        <v>0</v>
      </c>
      <c r="G18" s="18">
        <f t="shared" si="2"/>
        <v>46061.036971923342</v>
      </c>
      <c r="H18" s="21" t="s">
        <v>10</v>
      </c>
      <c r="I18" s="37">
        <v>1.1499999999999999</v>
      </c>
      <c r="J18" s="46">
        <f t="shared" si="3"/>
        <v>2.2036385900063431</v>
      </c>
      <c r="O18" s="33"/>
      <c r="P18" s="34"/>
    </row>
    <row r="19" spans="2:16">
      <c r="B19" s="26">
        <f t="shared" si="4"/>
        <v>2.3121832759966812</v>
      </c>
      <c r="C19" s="45">
        <f t="shared" si="0"/>
        <v>2.6050724637681162</v>
      </c>
      <c r="D19" s="13">
        <f t="shared" si="1"/>
        <v>0.10854468599033817</v>
      </c>
      <c r="E19" s="10">
        <f t="shared" ref="E19:E31" si="6">E18+F19</f>
        <v>200</v>
      </c>
      <c r="F19" s="39">
        <v>0</v>
      </c>
      <c r="G19" s="18">
        <f t="shared" si="2"/>
        <v>46061.145516609329</v>
      </c>
      <c r="H19" s="21" t="s">
        <v>80</v>
      </c>
      <c r="I19" s="37">
        <f>((E19-100)/18.4*20/60)+((E19-100)/18.4*6/60)+15/60</f>
        <v>2.6050724637681162</v>
      </c>
      <c r="J19" s="46">
        <f t="shared" si="3"/>
        <v>2.3121832759966812</v>
      </c>
      <c r="O19" s="33"/>
      <c r="P19" s="34"/>
    </row>
    <row r="20" spans="2:16">
      <c r="B20" s="26">
        <f t="shared" si="4"/>
        <v>2.6038499426633477</v>
      </c>
      <c r="C20" s="45">
        <f t="shared" si="0"/>
        <v>7</v>
      </c>
      <c r="D20" s="13">
        <f t="shared" si="1"/>
        <v>0.29166666666666669</v>
      </c>
      <c r="E20" s="10">
        <f t="shared" si="6"/>
        <v>200</v>
      </c>
      <c r="F20" s="39">
        <v>0</v>
      </c>
      <c r="G20" s="18">
        <f t="shared" si="2"/>
        <v>46061.437183275993</v>
      </c>
      <c r="H20" s="85" t="s">
        <v>61</v>
      </c>
      <c r="I20" s="84">
        <v>7</v>
      </c>
      <c r="J20" s="46">
        <f t="shared" si="3"/>
        <v>2.6038499426633477</v>
      </c>
      <c r="O20" s="33"/>
      <c r="P20" s="34"/>
    </row>
    <row r="21" spans="2:16">
      <c r="B21" s="26">
        <f t="shared" si="4"/>
        <v>2.7003005599472982</v>
      </c>
      <c r="C21" s="45">
        <f t="shared" si="0"/>
        <v>2.3148148148148149</v>
      </c>
      <c r="D21" s="13">
        <f t="shared" si="1"/>
        <v>9.6450617283950615E-2</v>
      </c>
      <c r="E21" s="10">
        <f t="shared" si="6"/>
        <v>200</v>
      </c>
      <c r="F21" s="39">
        <v>0</v>
      </c>
      <c r="G21" s="18">
        <f t="shared" si="2"/>
        <v>46061.533633893276</v>
      </c>
      <c r="H21" s="21" t="s">
        <v>20</v>
      </c>
      <c r="I21" s="37">
        <f>((E19-100)/18*20/60)+((E19-100)/18*5/60)</f>
        <v>2.3148148148148149</v>
      </c>
      <c r="J21" s="46">
        <f t="shared" si="3"/>
        <v>2.7003005599472982</v>
      </c>
      <c r="O21" s="33"/>
      <c r="P21" s="34"/>
    </row>
    <row r="22" spans="2:16">
      <c r="B22" s="26">
        <f t="shared" si="4"/>
        <v>2.7628005599472982</v>
      </c>
      <c r="C22" s="45">
        <f t="shared" si="0"/>
        <v>1.5</v>
      </c>
      <c r="D22" s="13">
        <f t="shared" si="1"/>
        <v>6.25E-2</v>
      </c>
      <c r="E22" s="10">
        <f t="shared" si="6"/>
        <v>200</v>
      </c>
      <c r="F22" s="39">
        <v>0</v>
      </c>
      <c r="G22" s="18">
        <f t="shared" si="2"/>
        <v>46061.596133893276</v>
      </c>
      <c r="H22" s="19" t="s">
        <v>11</v>
      </c>
      <c r="I22" s="37">
        <v>1.5</v>
      </c>
      <c r="J22" s="46">
        <f t="shared" si="3"/>
        <v>2.7628005599472982</v>
      </c>
      <c r="O22" s="33"/>
      <c r="P22" s="34"/>
    </row>
    <row r="23" spans="2:16">
      <c r="B23" s="26">
        <f t="shared" si="4"/>
        <v>2.8735258685892737</v>
      </c>
      <c r="C23" s="45">
        <f t="shared" si="0"/>
        <v>2.6574074074074074</v>
      </c>
      <c r="D23" s="13">
        <f t="shared" si="1"/>
        <v>0.11072530864197531</v>
      </c>
      <c r="E23" s="10">
        <f t="shared" si="6"/>
        <v>200</v>
      </c>
      <c r="F23" s="39">
        <v>0</v>
      </c>
      <c r="G23" s="18">
        <f t="shared" si="2"/>
        <v>46061.70685920192</v>
      </c>
      <c r="H23" s="21" t="s">
        <v>80</v>
      </c>
      <c r="I23" s="37">
        <f>((100)/18*20/60)+((E23-100)/18*6/60)+15/60</f>
        <v>2.6574074074074074</v>
      </c>
      <c r="J23" s="46">
        <f t="shared" si="3"/>
        <v>2.8735258685892737</v>
      </c>
      <c r="O23" s="33"/>
      <c r="P23" s="34"/>
    </row>
    <row r="24" spans="2:16">
      <c r="B24" s="26">
        <f t="shared" si="4"/>
        <v>2.9776925352559402</v>
      </c>
      <c r="C24" s="45">
        <f t="shared" si="0"/>
        <v>2.5</v>
      </c>
      <c r="D24" s="13">
        <f t="shared" si="1"/>
        <v>0.10416666666666667</v>
      </c>
      <c r="E24" s="10">
        <f t="shared" si="6"/>
        <v>200</v>
      </c>
      <c r="F24" s="39">
        <v>0</v>
      </c>
      <c r="G24" s="18">
        <f t="shared" si="2"/>
        <v>46061.811025868585</v>
      </c>
      <c r="H24" s="21" t="s">
        <v>12</v>
      </c>
      <c r="I24" s="37">
        <v>2.5</v>
      </c>
      <c r="J24" s="46">
        <f t="shared" si="3"/>
        <v>2.9776925352559402</v>
      </c>
      <c r="O24" s="33"/>
      <c r="P24" s="34"/>
    </row>
    <row r="25" spans="2:16">
      <c r="B25" s="26">
        <f>B24+D25</f>
        <v>3.1026925352559402</v>
      </c>
      <c r="C25" s="40">
        <f t="shared" ref="C25:C72" si="7">I25</f>
        <v>3</v>
      </c>
      <c r="D25" s="13">
        <f t="shared" si="1"/>
        <v>0.125</v>
      </c>
      <c r="E25" s="10">
        <f>E24+F25</f>
        <v>200</v>
      </c>
      <c r="F25" s="39">
        <v>0</v>
      </c>
      <c r="G25" s="18">
        <f>SUM(G24+D25)</f>
        <v>46061.936025868585</v>
      </c>
      <c r="H25" s="21" t="s">
        <v>17</v>
      </c>
      <c r="I25" s="37">
        <v>3</v>
      </c>
      <c r="J25" s="46">
        <f t="shared" si="3"/>
        <v>3.1026925352559402</v>
      </c>
      <c r="O25" s="33"/>
      <c r="P25" s="34"/>
    </row>
    <row r="26" spans="2:16" ht="18.75" customHeight="1">
      <c r="B26" s="26">
        <f t="shared" si="4"/>
        <v>3.3428797333235729</v>
      </c>
      <c r="C26" s="40">
        <f t="shared" si="7"/>
        <v>5.7644927536231876</v>
      </c>
      <c r="D26" s="13">
        <f t="shared" si="1"/>
        <v>0.24018719806763281</v>
      </c>
      <c r="E26" s="10">
        <f t="shared" si="6"/>
        <v>200</v>
      </c>
      <c r="F26" s="39">
        <v>0</v>
      </c>
      <c r="G26" s="18">
        <f t="shared" si="2"/>
        <v>46062.176213066654</v>
      </c>
      <c r="H26" s="21" t="s">
        <v>93</v>
      </c>
      <c r="I26" s="26">
        <f>E26/11.5*15/60+20/60+20/60+30/60+15/60</f>
        <v>5.7644927536231876</v>
      </c>
      <c r="J26" s="46">
        <f t="shared" si="3"/>
        <v>3.3428797333235729</v>
      </c>
      <c r="O26" s="33"/>
      <c r="P26" s="34"/>
    </row>
    <row r="27" spans="2:16">
      <c r="B27" s="26">
        <f t="shared" si="4"/>
        <v>3.4782963999902394</v>
      </c>
      <c r="C27" s="40">
        <f t="shared" si="7"/>
        <v>3.25</v>
      </c>
      <c r="D27" s="13">
        <f t="shared" si="1"/>
        <v>0.13541666666666666</v>
      </c>
      <c r="E27" s="10">
        <f t="shared" si="6"/>
        <v>200</v>
      </c>
      <c r="F27" s="39">
        <v>0</v>
      </c>
      <c r="G27" s="18">
        <f t="shared" si="2"/>
        <v>46062.311629733318</v>
      </c>
      <c r="H27" s="21" t="s">
        <v>81</v>
      </c>
      <c r="I27" s="37">
        <f>2+1+15/60</f>
        <v>3.25</v>
      </c>
      <c r="J27" s="46">
        <f t="shared" si="3"/>
        <v>3.4782963999902394</v>
      </c>
      <c r="O27" s="33"/>
      <c r="P27" s="34"/>
    </row>
    <row r="28" spans="2:16">
      <c r="B28" s="26">
        <f t="shared" si="4"/>
        <v>3.6032963999902394</v>
      </c>
      <c r="C28" s="40">
        <f t="shared" si="7"/>
        <v>3</v>
      </c>
      <c r="D28" s="13">
        <f t="shared" si="1"/>
        <v>0.125</v>
      </c>
      <c r="E28" s="10">
        <f t="shared" si="6"/>
        <v>200</v>
      </c>
      <c r="F28" s="39">
        <v>0</v>
      </c>
      <c r="G28" s="18">
        <f t="shared" si="2"/>
        <v>46062.436629733318</v>
      </c>
      <c r="H28" s="21" t="s">
        <v>27</v>
      </c>
      <c r="I28" s="37">
        <v>3</v>
      </c>
      <c r="J28" s="46">
        <f t="shared" si="3"/>
        <v>3.6032963999902394</v>
      </c>
      <c r="O28" s="33"/>
      <c r="P28" s="34"/>
    </row>
    <row r="29" spans="2:16">
      <c r="B29" s="26">
        <f t="shared" si="4"/>
        <v>4.6032963999902394</v>
      </c>
      <c r="C29" s="40">
        <f t="shared" si="7"/>
        <v>24</v>
      </c>
      <c r="D29" s="13">
        <f t="shared" si="1"/>
        <v>1</v>
      </c>
      <c r="E29" s="10">
        <f t="shared" si="6"/>
        <v>200</v>
      </c>
      <c r="F29" s="39">
        <v>0</v>
      </c>
      <c r="G29" s="18">
        <f t="shared" si="2"/>
        <v>46063.436629733318</v>
      </c>
      <c r="H29" s="21" t="s">
        <v>28</v>
      </c>
      <c r="I29" s="37">
        <f>24</f>
        <v>24</v>
      </c>
      <c r="J29" s="46">
        <f t="shared" si="3"/>
        <v>4.6032963999902394</v>
      </c>
      <c r="O29" s="33"/>
      <c r="P29" s="34"/>
    </row>
    <row r="30" spans="2:16">
      <c r="B30" s="26">
        <f t="shared" si="4"/>
        <v>6.1032963999902394</v>
      </c>
      <c r="C30" s="40">
        <f t="shared" si="7"/>
        <v>36</v>
      </c>
      <c r="D30" s="13">
        <f t="shared" si="1"/>
        <v>1.5</v>
      </c>
      <c r="E30" s="10">
        <f t="shared" si="6"/>
        <v>200</v>
      </c>
      <c r="F30" s="39">
        <v>0</v>
      </c>
      <c r="G30" s="18">
        <f t="shared" si="2"/>
        <v>46064.936629733318</v>
      </c>
      <c r="H30" s="21" t="s">
        <v>24</v>
      </c>
      <c r="I30" s="37">
        <f>34+2</f>
        <v>36</v>
      </c>
      <c r="J30" s="46">
        <f t="shared" si="3"/>
        <v>6.1032963999902394</v>
      </c>
      <c r="O30" s="33"/>
      <c r="P30" s="34"/>
    </row>
    <row r="31" spans="2:16">
      <c r="B31" s="26">
        <f t="shared" si="4"/>
        <v>6.3505790086858918</v>
      </c>
      <c r="C31" s="40">
        <f t="shared" si="7"/>
        <v>5.9347826086956523</v>
      </c>
      <c r="D31" s="13">
        <f t="shared" si="1"/>
        <v>0.24728260869565219</v>
      </c>
      <c r="E31" s="10">
        <f t="shared" si="6"/>
        <v>200</v>
      </c>
      <c r="F31" s="39">
        <v>0</v>
      </c>
      <c r="G31" s="18">
        <f t="shared" si="2"/>
        <v>46065.183912342014</v>
      </c>
      <c r="H31" s="21" t="s">
        <v>53</v>
      </c>
      <c r="I31" s="37">
        <f>((600/18.4)*10/60+30/60)</f>
        <v>5.9347826086956523</v>
      </c>
      <c r="J31" s="46">
        <f t="shared" si="3"/>
        <v>6.3505790086858918</v>
      </c>
      <c r="O31" s="33"/>
      <c r="P31" s="34"/>
    </row>
    <row r="32" spans="2:16" s="14" customFormat="1" ht="15" customHeight="1">
      <c r="B32" s="41">
        <f t="shared" si="4"/>
        <v>6.5241901197970025</v>
      </c>
      <c r="C32" s="28">
        <f t="shared" si="7"/>
        <v>4.1666666666666661</v>
      </c>
      <c r="D32" s="42">
        <f t="shared" si="1"/>
        <v>0.17361111111111108</v>
      </c>
      <c r="E32" s="11">
        <f t="shared" ref="E32" si="8">E31</f>
        <v>200</v>
      </c>
      <c r="F32" s="12">
        <f t="shared" ref="F32:F54" si="9">E32-E31</f>
        <v>0</v>
      </c>
      <c r="G32" s="83">
        <f t="shared" si="2"/>
        <v>46065.357523453124</v>
      </c>
      <c r="H32" s="24" t="s">
        <v>35</v>
      </c>
      <c r="I32" s="41">
        <f>(20/60+30/60+30/60+20/60+25/60+20/60+30/60+(27/9*25/60))</f>
        <v>4.1666666666666661</v>
      </c>
      <c r="J32" s="46">
        <f t="shared" si="3"/>
        <v>6.5241901197970025</v>
      </c>
      <c r="K32" s="15"/>
      <c r="L32" s="15"/>
      <c r="M32" s="15"/>
      <c r="N32" s="15"/>
      <c r="O32" s="50"/>
      <c r="P32" s="51"/>
    </row>
    <row r="33" spans="2:16" s="9" customFormat="1" ht="15" customHeight="1">
      <c r="B33" s="26">
        <f t="shared" si="4"/>
        <v>6.6374147574781617</v>
      </c>
      <c r="C33" s="40">
        <f t="shared" si="7"/>
        <v>2.7173913043478262</v>
      </c>
      <c r="D33" s="13">
        <f t="shared" si="1"/>
        <v>0.11322463768115942</v>
      </c>
      <c r="E33" s="7">
        <f>E32</f>
        <v>200</v>
      </c>
      <c r="F33" s="8">
        <f t="shared" si="9"/>
        <v>0</v>
      </c>
      <c r="G33" s="18">
        <f t="shared" si="2"/>
        <v>46065.470748090804</v>
      </c>
      <c r="H33" s="22" t="s">
        <v>14</v>
      </c>
      <c r="I33" s="26">
        <f>(E33/18.4*15/60)</f>
        <v>2.7173913043478262</v>
      </c>
      <c r="J33" s="46">
        <f t="shared" si="3"/>
        <v>6.6374147574781617</v>
      </c>
      <c r="K33" s="1"/>
      <c r="L33" s="1"/>
      <c r="M33" s="1"/>
      <c r="N33" s="1"/>
      <c r="O33" s="33"/>
      <c r="P33" s="34"/>
    </row>
    <row r="34" spans="2:16" s="9" customFormat="1" ht="15" customHeight="1">
      <c r="B34" s="26">
        <f t="shared" si="4"/>
        <v>6.8457480908114947</v>
      </c>
      <c r="C34" s="40">
        <f t="shared" si="7"/>
        <v>5</v>
      </c>
      <c r="D34" s="13">
        <f t="shared" si="1"/>
        <v>0.20833333333333334</v>
      </c>
      <c r="E34" s="7">
        <f>E33+F34</f>
        <v>203</v>
      </c>
      <c r="F34" s="8">
        <v>3</v>
      </c>
      <c r="G34" s="18">
        <f t="shared" si="2"/>
        <v>46065.679081424139</v>
      </c>
      <c r="H34" s="19" t="s">
        <v>23</v>
      </c>
      <c r="I34" s="26">
        <f>4+1</f>
        <v>5</v>
      </c>
      <c r="J34" s="46">
        <f t="shared" si="3"/>
        <v>6.8457480908114947</v>
      </c>
      <c r="K34" s="1"/>
      <c r="L34" s="1"/>
      <c r="M34" s="1"/>
      <c r="N34" s="1"/>
      <c r="O34" s="33"/>
      <c r="P34" s="34"/>
    </row>
    <row r="35" spans="2:16" s="9" customFormat="1" ht="15" customHeight="1">
      <c r="B35" s="26">
        <f t="shared" si="4"/>
        <v>8.4438912067535234</v>
      </c>
      <c r="C35" s="45">
        <f t="shared" si="7"/>
        <v>38.355434782608697</v>
      </c>
      <c r="D35" s="13">
        <f t="shared" si="1"/>
        <v>1.598143115942029</v>
      </c>
      <c r="E35" s="10">
        <f>E34+F35</f>
        <v>700</v>
      </c>
      <c r="F35" s="39">
        <v>497</v>
      </c>
      <c r="G35" s="18">
        <f t="shared" si="2"/>
        <v>46067.277224540085</v>
      </c>
      <c r="H35" s="64" t="s">
        <v>66</v>
      </c>
      <c r="I35" s="26">
        <f>(F35)/20+(F35)/18.4*5/60+(F35/18.4*25/60)</f>
        <v>38.355434782608697</v>
      </c>
      <c r="J35" s="46">
        <f t="shared" si="3"/>
        <v>8.4438912067535234</v>
      </c>
      <c r="K35" s="1"/>
      <c r="L35" s="1"/>
      <c r="M35" s="1"/>
      <c r="N35" s="1"/>
      <c r="O35" s="33"/>
      <c r="P35" s="34"/>
    </row>
    <row r="36" spans="2:16" s="9" customFormat="1">
      <c r="B36" s="26">
        <f t="shared" si="4"/>
        <v>8.9307571487825097</v>
      </c>
      <c r="C36" s="45">
        <f t="shared" si="7"/>
        <v>11.684782608695652</v>
      </c>
      <c r="D36" s="13">
        <f t="shared" si="1"/>
        <v>0.48686594202898553</v>
      </c>
      <c r="E36" s="10">
        <f t="shared" ref="E36:E39" si="10">E35+F36</f>
        <v>700</v>
      </c>
      <c r="F36" s="39">
        <v>0</v>
      </c>
      <c r="G36" s="18">
        <f t="shared" si="2"/>
        <v>46067.764090482116</v>
      </c>
      <c r="H36" s="44" t="s">
        <v>82</v>
      </c>
      <c r="I36" s="26">
        <f>((E36-E32)/18.4*6/60)*2+6+15/60</f>
        <v>11.684782608695652</v>
      </c>
      <c r="J36" s="46">
        <f t="shared" si="3"/>
        <v>8.9307571487825097</v>
      </c>
      <c r="K36" s="1"/>
      <c r="L36" s="1"/>
      <c r="M36" s="1"/>
      <c r="N36" s="1"/>
      <c r="O36" s="33"/>
      <c r="P36" s="34"/>
    </row>
    <row r="37" spans="2:16" s="9" customFormat="1">
      <c r="B37" s="26">
        <f t="shared" si="4"/>
        <v>9.0140904821158436</v>
      </c>
      <c r="C37" s="45">
        <f t="shared" si="7"/>
        <v>2</v>
      </c>
      <c r="D37" s="13">
        <f t="shared" si="1"/>
        <v>8.3333333333333329E-2</v>
      </c>
      <c r="E37" s="10">
        <f t="shared" si="10"/>
        <v>700</v>
      </c>
      <c r="F37" s="39">
        <v>0</v>
      </c>
      <c r="G37" s="18">
        <f t="shared" si="2"/>
        <v>46067.847423815452</v>
      </c>
      <c r="H37" s="64" t="s">
        <v>10</v>
      </c>
      <c r="I37" s="26">
        <v>2</v>
      </c>
      <c r="J37" s="46">
        <f t="shared" si="3"/>
        <v>9.0140904821158436</v>
      </c>
      <c r="K37" s="1"/>
      <c r="L37" s="1"/>
      <c r="M37" s="1"/>
      <c r="N37" s="1"/>
      <c r="O37" s="33"/>
      <c r="P37" s="34"/>
    </row>
    <row r="38" spans="2:16" s="9" customFormat="1">
      <c r="B38" s="26">
        <f t="shared" si="4"/>
        <v>9.1739636705216405</v>
      </c>
      <c r="C38" s="45">
        <f t="shared" si="7"/>
        <v>3.8369565217391304</v>
      </c>
      <c r="D38" s="13">
        <f t="shared" si="1"/>
        <v>0.15987318840579709</v>
      </c>
      <c r="E38" s="10">
        <f t="shared" si="10"/>
        <v>700</v>
      </c>
      <c r="F38" s="39">
        <v>0</v>
      </c>
      <c r="G38" s="18">
        <f t="shared" si="2"/>
        <v>46068.00729700386</v>
      </c>
      <c r="H38" s="44" t="s">
        <v>83</v>
      </c>
      <c r="I38" s="26">
        <f>((E38-40)/18.4*6/60)+15/60</f>
        <v>3.8369565217391304</v>
      </c>
      <c r="J38" s="46">
        <f t="shared" si="3"/>
        <v>9.1739636705216405</v>
      </c>
      <c r="K38" s="1"/>
      <c r="L38" s="1"/>
      <c r="M38" s="1"/>
      <c r="N38" s="1"/>
      <c r="O38" s="33"/>
      <c r="P38" s="34"/>
    </row>
    <row r="39" spans="2:16" s="9" customFormat="1">
      <c r="B39" s="26">
        <f t="shared" si="4"/>
        <v>9.6531303371883066</v>
      </c>
      <c r="C39" s="45">
        <f t="shared" si="7"/>
        <v>11.500000000000002</v>
      </c>
      <c r="D39" s="13">
        <f t="shared" si="1"/>
        <v>0.47916666666666674</v>
      </c>
      <c r="E39" s="10">
        <f t="shared" si="10"/>
        <v>700</v>
      </c>
      <c r="F39" s="39">
        <v>0</v>
      </c>
      <c r="G39" s="18">
        <f t="shared" si="2"/>
        <v>46068.486463670524</v>
      </c>
      <c r="H39" s="44" t="s">
        <v>37</v>
      </c>
      <c r="I39" s="26">
        <f>(20/60+500/60+20/60+25/60+20/60+30/60+(27/9*25/60))</f>
        <v>11.500000000000002</v>
      </c>
      <c r="J39" s="46">
        <f t="shared" ref="J39:J79" si="11">J38+D39</f>
        <v>9.6531303371883066</v>
      </c>
      <c r="K39" s="1"/>
      <c r="L39" s="1"/>
      <c r="M39" s="1"/>
      <c r="N39" s="1"/>
      <c r="O39" s="33"/>
      <c r="P39" s="34"/>
    </row>
    <row r="40" spans="2:16" s="55" customFormat="1" ht="36">
      <c r="B40" s="26">
        <f t="shared" si="4"/>
        <v>10.653130337188307</v>
      </c>
      <c r="C40" s="45">
        <f t="shared" si="7"/>
        <v>24</v>
      </c>
      <c r="D40" s="13">
        <f t="shared" si="1"/>
        <v>1</v>
      </c>
      <c r="E40" s="10">
        <f t="shared" ref="E40:E52" si="12">E39+F40</f>
        <v>700</v>
      </c>
      <c r="F40" s="39">
        <v>0</v>
      </c>
      <c r="G40" s="18">
        <f t="shared" ref="G40:G73" si="13">SUM(G39+D40)</f>
        <v>46069.486463670524</v>
      </c>
      <c r="H40" s="85" t="s">
        <v>60</v>
      </c>
      <c r="I40" s="84">
        <v>24</v>
      </c>
      <c r="J40" s="46">
        <f t="shared" si="11"/>
        <v>10.653130337188307</v>
      </c>
      <c r="K40" s="52"/>
      <c r="L40" s="52"/>
      <c r="M40" s="52"/>
      <c r="N40" s="52"/>
      <c r="O40" s="53"/>
      <c r="P40" s="54"/>
    </row>
    <row r="41" spans="2:16" s="9" customFormat="1">
      <c r="B41" s="26">
        <f t="shared" si="4"/>
        <v>10.736463670521641</v>
      </c>
      <c r="C41" s="45">
        <f t="shared" si="7"/>
        <v>2</v>
      </c>
      <c r="D41" s="13">
        <f t="shared" si="1"/>
        <v>8.3333333333333329E-2</v>
      </c>
      <c r="E41" s="10">
        <f t="shared" si="12"/>
        <v>700</v>
      </c>
      <c r="F41" s="39">
        <v>0</v>
      </c>
      <c r="G41" s="18">
        <f t="shared" si="13"/>
        <v>46069.56979700386</v>
      </c>
      <c r="H41" s="32" t="s">
        <v>46</v>
      </c>
      <c r="I41" s="26">
        <v>2</v>
      </c>
      <c r="J41" s="46">
        <f t="shared" si="11"/>
        <v>10.736463670521641</v>
      </c>
      <c r="K41" s="1"/>
      <c r="L41" s="1"/>
      <c r="M41" s="1"/>
      <c r="N41" s="1"/>
      <c r="O41" s="33"/>
      <c r="P41" s="34"/>
    </row>
    <row r="42" spans="2:16" s="9" customFormat="1">
      <c r="B42" s="26">
        <f t="shared" si="4"/>
        <v>10.863463972454008</v>
      </c>
      <c r="C42" s="45">
        <f t="shared" si="7"/>
        <v>3.048007246376812</v>
      </c>
      <c r="D42" s="13">
        <f t="shared" si="1"/>
        <v>0.12700030193236717</v>
      </c>
      <c r="E42" s="10">
        <f>E41+F42</f>
        <v>700</v>
      </c>
      <c r="F42" s="39">
        <v>0</v>
      </c>
      <c r="G42" s="18">
        <f t="shared" si="13"/>
        <v>46069.696797305791</v>
      </c>
      <c r="H42" s="32" t="s">
        <v>47</v>
      </c>
      <c r="I42" s="26">
        <f>((E42-27)/18.4*5/60)</f>
        <v>3.048007246376812</v>
      </c>
      <c r="J42" s="46">
        <f t="shared" si="11"/>
        <v>10.863463972454008</v>
      </c>
      <c r="K42" s="1"/>
      <c r="L42" s="1"/>
      <c r="M42" s="1"/>
      <c r="N42" s="1"/>
      <c r="O42" s="33"/>
      <c r="P42" s="34"/>
    </row>
    <row r="43" spans="2:16" s="9" customFormat="1">
      <c r="B43" s="26">
        <f t="shared" si="4"/>
        <v>11.030130639120674</v>
      </c>
      <c r="C43" s="45">
        <f t="shared" si="7"/>
        <v>4</v>
      </c>
      <c r="D43" s="13">
        <f t="shared" si="1"/>
        <v>0.16666666666666666</v>
      </c>
      <c r="E43" s="10">
        <f t="shared" si="12"/>
        <v>700</v>
      </c>
      <c r="F43" s="39">
        <v>0</v>
      </c>
      <c r="G43" s="18">
        <f t="shared" si="13"/>
        <v>46069.863463972455</v>
      </c>
      <c r="H43" s="32" t="s">
        <v>11</v>
      </c>
      <c r="I43" s="26">
        <v>4</v>
      </c>
      <c r="J43" s="46">
        <f t="shared" si="11"/>
        <v>11.030130639120674</v>
      </c>
      <c r="K43" s="1"/>
      <c r="L43" s="1"/>
      <c r="M43" s="1"/>
      <c r="N43" s="1"/>
      <c r="O43" s="33"/>
      <c r="P43" s="34"/>
    </row>
    <row r="44" spans="2:16" s="9" customFormat="1">
      <c r="B44" s="26">
        <f t="shared" si="4"/>
        <v>11.190003827526471</v>
      </c>
      <c r="C44" s="45">
        <f t="shared" si="7"/>
        <v>3.8369565217391304</v>
      </c>
      <c r="D44" s="13">
        <f t="shared" si="1"/>
        <v>0.15987318840579709</v>
      </c>
      <c r="E44" s="10">
        <f t="shared" si="12"/>
        <v>700</v>
      </c>
      <c r="F44" s="39">
        <v>0</v>
      </c>
      <c r="G44" s="18">
        <f t="shared" si="13"/>
        <v>46070.023337160863</v>
      </c>
      <c r="H44" s="32" t="s">
        <v>84</v>
      </c>
      <c r="I44" s="26">
        <f>((E44-40)/18.4*6/60)+15/60</f>
        <v>3.8369565217391304</v>
      </c>
      <c r="J44" s="46">
        <f t="shared" si="11"/>
        <v>11.190003827526471</v>
      </c>
      <c r="K44" s="1"/>
      <c r="L44" s="1"/>
      <c r="M44" s="1"/>
      <c r="N44" s="1"/>
      <c r="O44" s="33"/>
      <c r="P44" s="34"/>
    </row>
    <row r="45" spans="2:16" s="9" customFormat="1">
      <c r="B45" s="26">
        <f t="shared" si="4"/>
        <v>11.273337160859805</v>
      </c>
      <c r="C45" s="45">
        <f t="shared" si="7"/>
        <v>2</v>
      </c>
      <c r="D45" s="13">
        <f t="shared" si="1"/>
        <v>8.3333333333333329E-2</v>
      </c>
      <c r="E45" s="10">
        <f t="shared" si="12"/>
        <v>700</v>
      </c>
      <c r="F45" s="39">
        <v>0</v>
      </c>
      <c r="G45" s="18">
        <f t="shared" si="13"/>
        <v>46070.106670494199</v>
      </c>
      <c r="H45" s="32" t="s">
        <v>48</v>
      </c>
      <c r="I45" s="26">
        <v>2</v>
      </c>
      <c r="J45" s="46">
        <f t="shared" si="11"/>
        <v>11.273337160859805</v>
      </c>
      <c r="K45" s="1"/>
      <c r="L45" s="1"/>
      <c r="M45" s="1"/>
      <c r="N45" s="1"/>
      <c r="O45" s="33"/>
      <c r="P45" s="34"/>
    </row>
    <row r="46" spans="2:16" s="9" customFormat="1">
      <c r="B46" s="26">
        <f t="shared" si="4"/>
        <v>11.398337160859805</v>
      </c>
      <c r="C46" s="45">
        <f t="shared" si="7"/>
        <v>3</v>
      </c>
      <c r="D46" s="13">
        <f t="shared" si="1"/>
        <v>0.125</v>
      </c>
      <c r="E46" s="10">
        <f t="shared" si="12"/>
        <v>700</v>
      </c>
      <c r="F46" s="39">
        <v>0</v>
      </c>
      <c r="G46" s="18">
        <f t="shared" si="13"/>
        <v>46070.231670494199</v>
      </c>
      <c r="H46" s="32" t="s">
        <v>18</v>
      </c>
      <c r="I46" s="26">
        <v>3</v>
      </c>
      <c r="J46" s="46">
        <f t="shared" si="11"/>
        <v>11.398337160859805</v>
      </c>
      <c r="K46" s="1"/>
      <c r="L46" s="1"/>
      <c r="M46" s="1"/>
      <c r="N46" s="1"/>
      <c r="O46" s="33"/>
      <c r="P46" s="34"/>
    </row>
    <row r="47" spans="2:16" s="9" customFormat="1" ht="24">
      <c r="B47" s="26">
        <f t="shared" si="4"/>
        <v>12.002503827526471</v>
      </c>
      <c r="C47" s="45">
        <f t="shared" si="7"/>
        <v>14.5</v>
      </c>
      <c r="D47" s="13">
        <f t="shared" si="1"/>
        <v>0.60416666666666663</v>
      </c>
      <c r="E47" s="10">
        <f t="shared" si="12"/>
        <v>700</v>
      </c>
      <c r="F47" s="39">
        <v>0</v>
      </c>
      <c r="G47" s="18">
        <f t="shared" si="13"/>
        <v>46070.835837160863</v>
      </c>
      <c r="H47" s="44" t="s">
        <v>94</v>
      </c>
      <c r="I47" s="26">
        <f>E47/10*10/60+20/60+20/60+20/60+40/60+40/60+15/60*2</f>
        <v>14.5</v>
      </c>
      <c r="J47" s="46">
        <f t="shared" si="11"/>
        <v>12.002503827526471</v>
      </c>
      <c r="K47" s="1"/>
      <c r="L47" s="1"/>
      <c r="M47" s="1"/>
      <c r="N47" s="1"/>
      <c r="O47" s="33"/>
      <c r="P47" s="34"/>
    </row>
    <row r="48" spans="2:16" s="9" customFormat="1">
      <c r="B48" s="26">
        <f t="shared" si="4"/>
        <v>12.127503827526471</v>
      </c>
      <c r="C48" s="45">
        <f t="shared" si="7"/>
        <v>3</v>
      </c>
      <c r="D48" s="13">
        <f t="shared" si="1"/>
        <v>0.125</v>
      </c>
      <c r="E48" s="10">
        <f t="shared" si="12"/>
        <v>700</v>
      </c>
      <c r="F48" s="39">
        <v>0</v>
      </c>
      <c r="G48" s="18">
        <f t="shared" si="13"/>
        <v>46070.960837160863</v>
      </c>
      <c r="H48" s="32" t="s">
        <v>13</v>
      </c>
      <c r="I48" s="26">
        <v>3</v>
      </c>
      <c r="J48" s="46">
        <f t="shared" si="11"/>
        <v>12.127503827526471</v>
      </c>
      <c r="K48" s="1"/>
      <c r="L48" s="1"/>
      <c r="M48" s="1"/>
      <c r="N48" s="1"/>
      <c r="O48" s="33"/>
      <c r="P48" s="34"/>
    </row>
    <row r="49" spans="2:16" s="9" customFormat="1">
      <c r="B49" s="26">
        <f t="shared" si="4"/>
        <v>12.294170494193137</v>
      </c>
      <c r="C49" s="45">
        <f t="shared" si="7"/>
        <v>4</v>
      </c>
      <c r="D49" s="13">
        <f t="shared" si="1"/>
        <v>0.16666666666666666</v>
      </c>
      <c r="E49" s="10">
        <f t="shared" si="12"/>
        <v>700</v>
      </c>
      <c r="F49" s="39">
        <v>0</v>
      </c>
      <c r="G49" s="18">
        <f t="shared" si="13"/>
        <v>46071.127503827527</v>
      </c>
      <c r="H49" s="32" t="s">
        <v>19</v>
      </c>
      <c r="I49" s="26">
        <v>4</v>
      </c>
      <c r="J49" s="46">
        <f t="shared" si="11"/>
        <v>12.294170494193137</v>
      </c>
      <c r="K49" s="1"/>
      <c r="L49" s="1"/>
      <c r="M49" s="1"/>
      <c r="N49" s="1"/>
      <c r="O49" s="33"/>
      <c r="P49" s="34"/>
    </row>
    <row r="50" spans="2:16" s="9" customFormat="1">
      <c r="B50" s="26">
        <f t="shared" si="4"/>
        <v>12.960837160859803</v>
      </c>
      <c r="C50" s="40">
        <f t="shared" si="7"/>
        <v>16</v>
      </c>
      <c r="D50" s="13">
        <f t="shared" si="1"/>
        <v>0.66666666666666663</v>
      </c>
      <c r="E50" s="10">
        <f t="shared" si="12"/>
        <v>700</v>
      </c>
      <c r="F50" s="39">
        <v>0</v>
      </c>
      <c r="G50" s="18">
        <f t="shared" si="13"/>
        <v>46071.794170494191</v>
      </c>
      <c r="H50" s="32" t="s">
        <v>25</v>
      </c>
      <c r="I50" s="38">
        <v>16</v>
      </c>
      <c r="J50" s="46">
        <f t="shared" si="11"/>
        <v>12.960837160859803</v>
      </c>
      <c r="K50" s="1"/>
      <c r="L50" s="1"/>
      <c r="M50" s="1"/>
      <c r="N50" s="1"/>
      <c r="O50" s="33"/>
      <c r="P50" s="34"/>
    </row>
    <row r="51" spans="2:16" s="9" customFormat="1">
      <c r="B51" s="26">
        <f t="shared" si="4"/>
        <v>14.044170494193137</v>
      </c>
      <c r="C51" s="40">
        <f t="shared" si="7"/>
        <v>26</v>
      </c>
      <c r="D51" s="13">
        <f t="shared" si="1"/>
        <v>1.0833333333333333</v>
      </c>
      <c r="E51" s="10">
        <f t="shared" si="12"/>
        <v>700</v>
      </c>
      <c r="F51" s="39">
        <v>0</v>
      </c>
      <c r="G51" s="18">
        <f t="shared" si="13"/>
        <v>46072.877503827527</v>
      </c>
      <c r="H51" s="32" t="s">
        <v>26</v>
      </c>
      <c r="I51" s="26">
        <f>24+2</f>
        <v>26</v>
      </c>
      <c r="J51" s="46">
        <f t="shared" si="11"/>
        <v>14.044170494193137</v>
      </c>
      <c r="K51" s="1"/>
      <c r="L51" s="1"/>
      <c r="M51" s="1"/>
      <c r="N51" s="1"/>
      <c r="O51" s="33"/>
      <c r="P51" s="34"/>
    </row>
    <row r="52" spans="2:16">
      <c r="B52" s="26">
        <f t="shared" si="4"/>
        <v>14.6519603492656</v>
      </c>
      <c r="C52" s="40">
        <f t="shared" si="7"/>
        <v>14.586956521739133</v>
      </c>
      <c r="D52" s="13">
        <f t="shared" si="1"/>
        <v>0.60778985507246386</v>
      </c>
      <c r="E52" s="10">
        <f t="shared" si="12"/>
        <v>700</v>
      </c>
      <c r="F52" s="39">
        <v>0</v>
      </c>
      <c r="G52" s="18">
        <f t="shared" si="13"/>
        <v>46073.485293682599</v>
      </c>
      <c r="H52" s="21" t="s">
        <v>64</v>
      </c>
      <c r="I52" s="37">
        <f>1500/18.4*10/60+30/60+15/60*2</f>
        <v>14.586956521739133</v>
      </c>
      <c r="J52" s="46">
        <f t="shared" si="11"/>
        <v>14.6519603492656</v>
      </c>
      <c r="O52" s="33"/>
      <c r="P52" s="34"/>
    </row>
    <row r="53" spans="2:16" s="14" customFormat="1" ht="12.75" customHeight="1">
      <c r="B53" s="41">
        <f>B52+D53</f>
        <v>14.9019603492656</v>
      </c>
      <c r="C53" s="28">
        <f t="shared" si="7"/>
        <v>6</v>
      </c>
      <c r="D53" s="42">
        <f t="shared" ref="D53:D93" si="14">C53/24</f>
        <v>0.25</v>
      </c>
      <c r="E53" s="11">
        <f>E51</f>
        <v>700</v>
      </c>
      <c r="F53" s="12">
        <f>E53-E51</f>
        <v>0</v>
      </c>
      <c r="G53" s="65">
        <f t="shared" si="13"/>
        <v>46073.735293682599</v>
      </c>
      <c r="H53" s="25" t="s">
        <v>55</v>
      </c>
      <c r="I53" s="41">
        <v>6</v>
      </c>
      <c r="J53" s="46">
        <f t="shared" si="11"/>
        <v>14.9019603492656</v>
      </c>
      <c r="K53" s="15"/>
      <c r="L53" s="15"/>
      <c r="M53" s="15"/>
      <c r="N53" s="15"/>
      <c r="O53" s="50"/>
      <c r="P53" s="51"/>
    </row>
    <row r="54" spans="2:16" s="9" customFormat="1">
      <c r="B54" s="26">
        <f t="shared" si="4"/>
        <v>15.253409624627919</v>
      </c>
      <c r="C54" s="40">
        <f t="shared" si="7"/>
        <v>8.4347826086956523</v>
      </c>
      <c r="D54" s="13">
        <f t="shared" si="14"/>
        <v>0.35144927536231885</v>
      </c>
      <c r="E54" s="10">
        <f t="shared" ref="E54" si="15">E53</f>
        <v>700</v>
      </c>
      <c r="F54" s="8">
        <f t="shared" si="9"/>
        <v>0</v>
      </c>
      <c r="G54" s="18">
        <f t="shared" si="13"/>
        <v>46074.086742957959</v>
      </c>
      <c r="H54" s="20" t="s">
        <v>62</v>
      </c>
      <c r="I54" s="38">
        <f>((E54-100)/9.2*5/60)+3</f>
        <v>8.4347826086956523</v>
      </c>
      <c r="J54" s="46">
        <f t="shared" si="11"/>
        <v>15.253409624627919</v>
      </c>
      <c r="K54" s="1"/>
      <c r="L54" s="1"/>
      <c r="M54" s="1"/>
      <c r="N54" s="1"/>
      <c r="O54" s="33"/>
      <c r="P54" s="34"/>
    </row>
    <row r="55" spans="2:16" s="9" customFormat="1">
      <c r="B55" s="26">
        <f t="shared" si="4"/>
        <v>15.482576291294585</v>
      </c>
      <c r="C55" s="40">
        <f t="shared" si="7"/>
        <v>5.5</v>
      </c>
      <c r="D55" s="13">
        <f t="shared" si="14"/>
        <v>0.22916666666666666</v>
      </c>
      <c r="E55" s="10">
        <f>E54+F55</f>
        <v>703</v>
      </c>
      <c r="F55" s="8">
        <v>3</v>
      </c>
      <c r="G55" s="18">
        <f t="shared" si="13"/>
        <v>46074.315909624624</v>
      </c>
      <c r="H55" s="44" t="s">
        <v>59</v>
      </c>
      <c r="I55" s="38">
        <f>4+1+0.5</f>
        <v>5.5</v>
      </c>
      <c r="J55" s="46">
        <f t="shared" si="11"/>
        <v>15.482576291294585</v>
      </c>
      <c r="K55" s="1"/>
      <c r="L55" s="1"/>
      <c r="M55" s="1"/>
      <c r="N55" s="1"/>
      <c r="O55" s="33"/>
      <c r="P55" s="34"/>
    </row>
    <row r="56" spans="2:16" s="9" customFormat="1" ht="12" customHeight="1">
      <c r="B56" s="26">
        <f t="shared" si="4"/>
        <v>17.526658416898449</v>
      </c>
      <c r="C56" s="40">
        <f t="shared" si="7"/>
        <v>49.05797101449275</v>
      </c>
      <c r="D56" s="13">
        <f t="shared" si="14"/>
        <v>2.0440821256038646</v>
      </c>
      <c r="E56" s="10">
        <f>E55+F56</f>
        <v>1103</v>
      </c>
      <c r="F56" s="39">
        <v>400</v>
      </c>
      <c r="G56" s="18">
        <f t="shared" si="13"/>
        <v>46076.359991750229</v>
      </c>
      <c r="H56" s="44" t="s">
        <v>65</v>
      </c>
      <c r="I56" s="26">
        <f>(F56)/10+(F56)/18.4*5/60+(F56/18.4*20/60)</f>
        <v>49.05797101449275</v>
      </c>
      <c r="J56" s="46">
        <f t="shared" si="11"/>
        <v>17.526658416898449</v>
      </c>
      <c r="K56" s="1"/>
      <c r="L56" s="1"/>
      <c r="M56" s="1"/>
      <c r="N56" s="1"/>
      <c r="O56" s="33"/>
      <c r="P56" s="34"/>
    </row>
    <row r="57" spans="2:16" s="9" customFormat="1" ht="12" customHeight="1">
      <c r="B57" s="26">
        <f t="shared" si="4"/>
        <v>17.722260268750301</v>
      </c>
      <c r="C57" s="40">
        <f t="shared" si="7"/>
        <v>4.6944444444444438</v>
      </c>
      <c r="D57" s="13">
        <f t="shared" si="14"/>
        <v>0.19560185185185183</v>
      </c>
      <c r="E57" s="10">
        <f>E56+F57</f>
        <v>1103</v>
      </c>
      <c r="F57" s="39">
        <v>0</v>
      </c>
      <c r="G57" s="18">
        <f t="shared" si="13"/>
        <v>46076.555593602083</v>
      </c>
      <c r="H57" s="44" t="s">
        <v>85</v>
      </c>
      <c r="I57" s="26">
        <f>((F56)/18*6/60)*2+15/60</f>
        <v>4.6944444444444438</v>
      </c>
      <c r="J57" s="46">
        <f t="shared" si="11"/>
        <v>17.722260268750301</v>
      </c>
      <c r="K57" s="1"/>
      <c r="L57" s="1"/>
      <c r="M57" s="1"/>
      <c r="N57" s="1"/>
      <c r="O57" s="33"/>
      <c r="P57" s="34"/>
    </row>
    <row r="58" spans="2:16" s="9" customFormat="1" ht="12" customHeight="1">
      <c r="B58" s="26">
        <f t="shared" si="4"/>
        <v>19.69990972527204</v>
      </c>
      <c r="C58" s="40">
        <f t="shared" si="7"/>
        <v>47.463586956521745</v>
      </c>
      <c r="D58" s="13">
        <f t="shared" si="14"/>
        <v>1.9776494565217393</v>
      </c>
      <c r="E58" s="10">
        <f t="shared" ref="E58:E71" si="16">E57+F58</f>
        <v>1490</v>
      </c>
      <c r="F58" s="39">
        <v>387</v>
      </c>
      <c r="G58" s="18">
        <f t="shared" si="13"/>
        <v>46078.533243058606</v>
      </c>
      <c r="H58" s="44" t="s">
        <v>67</v>
      </c>
      <c r="I58" s="26">
        <f>(F58)/10+(F58)/18.4*5/60+(F58/18.4*20/60)</f>
        <v>47.463586956521745</v>
      </c>
      <c r="J58" s="46">
        <f t="shared" si="11"/>
        <v>19.69990972527204</v>
      </c>
      <c r="K58" s="1"/>
      <c r="L58" s="1"/>
      <c r="M58" s="1"/>
      <c r="N58" s="1"/>
      <c r="O58" s="33"/>
      <c r="P58" s="34"/>
    </row>
    <row r="59" spans="2:16" s="9" customFormat="1" ht="12" customHeight="1">
      <c r="B59" s="26">
        <f t="shared" ref="B59" si="17">B58+D59</f>
        <v>20.041621681793778</v>
      </c>
      <c r="C59" s="40">
        <f t="shared" ref="C59" si="18">I59</f>
        <v>8.2010869565217384</v>
      </c>
      <c r="D59" s="13">
        <f t="shared" ref="D59" si="19">C59/24</f>
        <v>0.34171195652173908</v>
      </c>
      <c r="E59" s="10">
        <f t="shared" ref="E59" si="20">E58+F59</f>
        <v>1490</v>
      </c>
      <c r="F59" s="39">
        <v>0</v>
      </c>
      <c r="G59" s="18">
        <f t="shared" ref="G59" si="21">SUM(G58+D59)</f>
        <v>46078.874955015126</v>
      </c>
      <c r="H59" s="20" t="s">
        <v>86</v>
      </c>
      <c r="I59" s="26">
        <f>((E59-27)/18.4*6/60)+15/60</f>
        <v>8.2010869565217384</v>
      </c>
      <c r="J59" s="46">
        <f t="shared" si="11"/>
        <v>20.041621681793778</v>
      </c>
      <c r="K59" s="1"/>
      <c r="L59" s="1"/>
      <c r="M59" s="1"/>
      <c r="N59" s="1"/>
      <c r="O59" s="33"/>
      <c r="P59" s="34"/>
    </row>
    <row r="60" spans="2:16" s="9" customFormat="1" ht="12" customHeight="1">
      <c r="B60" s="26">
        <f t="shared" ref="B60:B61" si="22">B59+D60</f>
        <v>20.208288348460446</v>
      </c>
      <c r="C60" s="40">
        <f t="shared" si="7"/>
        <v>4</v>
      </c>
      <c r="D60" s="13">
        <f t="shared" si="14"/>
        <v>0.16666666666666666</v>
      </c>
      <c r="E60" s="10">
        <f t="shared" si="16"/>
        <v>1490</v>
      </c>
      <c r="F60" s="39">
        <v>0</v>
      </c>
      <c r="G60" s="18">
        <f t="shared" si="13"/>
        <v>46079.04162168179</v>
      </c>
      <c r="H60" s="20" t="s">
        <v>38</v>
      </c>
      <c r="I60" s="38">
        <v>4</v>
      </c>
      <c r="J60" s="46">
        <f t="shared" si="11"/>
        <v>20.208288348460446</v>
      </c>
      <c r="K60" s="1"/>
      <c r="L60" s="1"/>
      <c r="M60" s="1"/>
      <c r="N60" s="1"/>
      <c r="O60" s="33"/>
      <c r="P60" s="34"/>
    </row>
    <row r="61" spans="2:16" s="9" customFormat="1" ht="23.25" customHeight="1">
      <c r="B61" s="26">
        <f t="shared" si="22"/>
        <v>28.208288348460446</v>
      </c>
      <c r="C61" s="40">
        <f t="shared" si="7"/>
        <v>192</v>
      </c>
      <c r="D61" s="13">
        <f t="shared" si="14"/>
        <v>8</v>
      </c>
      <c r="E61" s="10">
        <f t="shared" si="16"/>
        <v>1490</v>
      </c>
      <c r="F61" s="39">
        <v>0</v>
      </c>
      <c r="G61" s="18">
        <f t="shared" si="13"/>
        <v>46087.04162168179</v>
      </c>
      <c r="H61" s="74" t="s">
        <v>44</v>
      </c>
      <c r="I61" s="75">
        <v>192</v>
      </c>
      <c r="J61" s="46">
        <f t="shared" si="11"/>
        <v>28.208288348460446</v>
      </c>
      <c r="K61" s="1"/>
      <c r="L61" s="1"/>
      <c r="M61" s="1"/>
      <c r="N61" s="1"/>
      <c r="O61" s="33"/>
      <c r="P61" s="34"/>
    </row>
    <row r="62" spans="2:16" s="9" customFormat="1" ht="12" customHeight="1">
      <c r="B62" s="26">
        <f t="shared" si="4"/>
        <v>28.416621681793778</v>
      </c>
      <c r="C62" s="40">
        <f t="shared" si="7"/>
        <v>5</v>
      </c>
      <c r="D62" s="13">
        <f t="shared" si="14"/>
        <v>0.20833333333333334</v>
      </c>
      <c r="E62" s="10">
        <f t="shared" si="16"/>
        <v>1490</v>
      </c>
      <c r="F62" s="39">
        <v>0</v>
      </c>
      <c r="G62" s="18">
        <f t="shared" si="13"/>
        <v>46087.249955015126</v>
      </c>
      <c r="H62" s="44" t="s">
        <v>36</v>
      </c>
      <c r="I62" s="26">
        <v>5</v>
      </c>
      <c r="J62" s="46">
        <f t="shared" si="11"/>
        <v>28.416621681793778</v>
      </c>
      <c r="K62" s="1"/>
      <c r="L62" s="1"/>
      <c r="M62" s="1"/>
      <c r="N62" s="1"/>
      <c r="O62" s="33"/>
      <c r="P62" s="34"/>
    </row>
    <row r="63" spans="2:16" s="9" customFormat="1" ht="12" customHeight="1">
      <c r="B63" s="26">
        <f t="shared" si="4"/>
        <v>28.82279619870199</v>
      </c>
      <c r="C63" s="40">
        <f t="shared" si="7"/>
        <v>9.7481884057971016</v>
      </c>
      <c r="D63" s="13">
        <f t="shared" si="14"/>
        <v>0.40617451690821255</v>
      </c>
      <c r="E63" s="10">
        <f t="shared" si="16"/>
        <v>1490</v>
      </c>
      <c r="F63" s="39">
        <v>0</v>
      </c>
      <c r="G63" s="18">
        <f t="shared" si="13"/>
        <v>46087.656129532035</v>
      </c>
      <c r="H63" s="44" t="s">
        <v>63</v>
      </c>
      <c r="I63" s="26">
        <f>(E63/18.4*5/60)+3</f>
        <v>9.7481884057971016</v>
      </c>
      <c r="J63" s="46">
        <f t="shared" si="11"/>
        <v>28.82279619870199</v>
      </c>
      <c r="K63" s="1"/>
      <c r="L63" s="1"/>
      <c r="M63" s="1"/>
      <c r="N63" s="1"/>
      <c r="O63" s="33"/>
      <c r="P63" s="34"/>
    </row>
    <row r="64" spans="2:16" s="9" customFormat="1" ht="12" customHeight="1">
      <c r="B64" s="26">
        <f t="shared" si="4"/>
        <v>30.866878324305855</v>
      </c>
      <c r="C64" s="40">
        <f t="shared" si="7"/>
        <v>49.05797101449275</v>
      </c>
      <c r="D64" s="13">
        <f t="shared" si="14"/>
        <v>2.0440821256038646</v>
      </c>
      <c r="E64" s="10">
        <f t="shared" si="16"/>
        <v>1890</v>
      </c>
      <c r="F64" s="39">
        <v>400</v>
      </c>
      <c r="G64" s="18">
        <f t="shared" si="13"/>
        <v>46089.70021165764</v>
      </c>
      <c r="H64" s="44" t="s">
        <v>75</v>
      </c>
      <c r="I64" s="26">
        <f>(F64)/10+(F64)/18.4*5/60+(F64/18.4*20/60)</f>
        <v>49.05797101449275</v>
      </c>
      <c r="J64" s="46">
        <f t="shared" si="11"/>
        <v>30.866878324305855</v>
      </c>
      <c r="K64" s="1"/>
      <c r="L64" s="1"/>
      <c r="M64" s="1"/>
      <c r="N64" s="1"/>
      <c r="O64" s="33"/>
      <c r="P64" s="34"/>
    </row>
    <row r="65" spans="2:16" s="9" customFormat="1" ht="12" customHeight="1">
      <c r="B65" s="26">
        <f t="shared" si="4"/>
        <v>31.058454411262378</v>
      </c>
      <c r="C65" s="40">
        <f t="shared" si="7"/>
        <v>4.5978260869565215</v>
      </c>
      <c r="D65" s="13">
        <f t="shared" si="14"/>
        <v>0.19157608695652173</v>
      </c>
      <c r="E65" s="10">
        <f t="shared" si="16"/>
        <v>1890</v>
      </c>
      <c r="F65" s="39">
        <v>0</v>
      </c>
      <c r="G65" s="18">
        <f t="shared" si="13"/>
        <v>46089.8917877446</v>
      </c>
      <c r="H65" s="44" t="s">
        <v>87</v>
      </c>
      <c r="I65" s="26">
        <f>((F64)/18.4*6/60)*2+15/60</f>
        <v>4.5978260869565215</v>
      </c>
      <c r="J65" s="46">
        <f t="shared" si="11"/>
        <v>31.058454411262378</v>
      </c>
      <c r="K65" s="1"/>
      <c r="L65" s="1"/>
      <c r="M65" s="1"/>
      <c r="N65" s="1"/>
      <c r="O65" s="33"/>
      <c r="P65" s="34"/>
    </row>
    <row r="66" spans="2:16" s="9" customFormat="1" ht="12" customHeight="1">
      <c r="B66" s="26">
        <f t="shared" si="4"/>
        <v>32.506597527204406</v>
      </c>
      <c r="C66" s="40">
        <f t="shared" si="7"/>
        <v>34.755434782608695</v>
      </c>
      <c r="D66" s="13">
        <f t="shared" si="14"/>
        <v>1.448143115942029</v>
      </c>
      <c r="E66" s="10">
        <f t="shared" si="16"/>
        <v>2100</v>
      </c>
      <c r="F66" s="39">
        <v>210</v>
      </c>
      <c r="G66" s="18">
        <f t="shared" si="13"/>
        <v>46091.339930860544</v>
      </c>
      <c r="H66" s="20" t="s">
        <v>77</v>
      </c>
      <c r="I66" s="38">
        <f>(F66/7+(F66/18.4*5)/60+(F66/18.4*20)/60)</f>
        <v>34.755434782608695</v>
      </c>
      <c r="J66" s="46">
        <f t="shared" si="11"/>
        <v>32.506597527204406</v>
      </c>
      <c r="K66" s="1"/>
      <c r="L66" s="1"/>
      <c r="M66" s="1"/>
      <c r="N66" s="1"/>
      <c r="O66" s="33"/>
      <c r="P66" s="34"/>
    </row>
    <row r="67" spans="2:16" s="9" customFormat="1" ht="12" customHeight="1">
      <c r="B67" s="26">
        <f t="shared" si="4"/>
        <v>38.506597527204406</v>
      </c>
      <c r="C67" s="40">
        <f t="shared" si="7"/>
        <v>144</v>
      </c>
      <c r="D67" s="13">
        <f t="shared" si="14"/>
        <v>6</v>
      </c>
      <c r="E67" s="10">
        <f t="shared" si="16"/>
        <v>2100</v>
      </c>
      <c r="F67" s="39">
        <v>0</v>
      </c>
      <c r="G67" s="18">
        <f t="shared" si="13"/>
        <v>46097.339930860544</v>
      </c>
      <c r="H67" s="74" t="s">
        <v>78</v>
      </c>
      <c r="I67" s="81">
        <f>6*24</f>
        <v>144</v>
      </c>
      <c r="J67" s="46">
        <f t="shared" si="11"/>
        <v>38.506597527204406</v>
      </c>
      <c r="K67" s="1"/>
      <c r="L67" s="1"/>
      <c r="M67" s="1"/>
      <c r="N67" s="1"/>
      <c r="O67" s="33"/>
      <c r="P67" s="34"/>
    </row>
    <row r="68" spans="2:16" s="9" customFormat="1" ht="12" customHeight="1">
      <c r="B68" s="26">
        <f t="shared" si="4"/>
        <v>38.714930860537741</v>
      </c>
      <c r="C68" s="40">
        <f t="shared" si="7"/>
        <v>5</v>
      </c>
      <c r="D68" s="13">
        <f t="shared" si="14"/>
        <v>0.20833333333333334</v>
      </c>
      <c r="E68" s="10">
        <f t="shared" si="16"/>
        <v>2100</v>
      </c>
      <c r="F68" s="39">
        <v>0</v>
      </c>
      <c r="G68" s="18">
        <f t="shared" si="13"/>
        <v>46097.54826419388</v>
      </c>
      <c r="H68" s="44" t="s">
        <v>36</v>
      </c>
      <c r="I68" s="26">
        <v>5</v>
      </c>
      <c r="J68" s="46"/>
      <c r="K68" s="1"/>
      <c r="L68" s="1"/>
      <c r="M68" s="1"/>
      <c r="N68" s="1"/>
      <c r="O68" s="33"/>
      <c r="P68" s="34"/>
    </row>
    <row r="69" spans="2:16" s="9" customFormat="1" ht="12" customHeight="1">
      <c r="B69" s="26">
        <f t="shared" si="4"/>
        <v>39.236217092421796</v>
      </c>
      <c r="C69" s="40">
        <f t="shared" si="7"/>
        <v>12.510869565217392</v>
      </c>
      <c r="D69" s="13">
        <f t="shared" si="14"/>
        <v>0.52128623188405798</v>
      </c>
      <c r="E69" s="10">
        <f t="shared" si="16"/>
        <v>2100</v>
      </c>
      <c r="F69" s="39">
        <v>0</v>
      </c>
      <c r="G69" s="18">
        <f t="shared" si="13"/>
        <v>46098.069550425767</v>
      </c>
      <c r="H69" s="44" t="s">
        <v>63</v>
      </c>
      <c r="I69" s="26">
        <f>(E69/18.4*5/60)+3</f>
        <v>12.510869565217392</v>
      </c>
      <c r="J69" s="46">
        <f>J67+D69</f>
        <v>39.027883759088461</v>
      </c>
      <c r="K69" s="1"/>
      <c r="L69" s="1"/>
      <c r="M69" s="1"/>
      <c r="N69" s="1"/>
      <c r="O69" s="33"/>
      <c r="P69" s="34"/>
    </row>
    <row r="70" spans="2:16" s="9" customFormat="1" ht="12" customHeight="1">
      <c r="B70" s="26">
        <f t="shared" si="4"/>
        <v>39.747237623822762</v>
      </c>
      <c r="C70" s="40">
        <f t="shared" si="7"/>
        <v>12.264492753623188</v>
      </c>
      <c r="D70" s="13">
        <f t="shared" si="14"/>
        <v>0.51102053140096615</v>
      </c>
      <c r="E70" s="10">
        <f t="shared" si="16"/>
        <v>2200</v>
      </c>
      <c r="F70" s="39">
        <v>100</v>
      </c>
      <c r="G70" s="18">
        <f t="shared" si="13"/>
        <v>46098.580570957165</v>
      </c>
      <c r="H70" s="20" t="s">
        <v>76</v>
      </c>
      <c r="I70" s="38">
        <f>(F70/10+(F70/18.4*5)/60+(F70/18.4*20)/60)</f>
        <v>12.264492753623188</v>
      </c>
      <c r="J70" s="46">
        <f t="shared" si="11"/>
        <v>39.538904290489427</v>
      </c>
      <c r="K70" s="1"/>
      <c r="L70" s="1"/>
      <c r="M70" s="1"/>
      <c r="N70" s="1"/>
      <c r="O70" s="33"/>
      <c r="P70" s="34"/>
    </row>
    <row r="71" spans="2:16" s="9" customFormat="1">
      <c r="B71" s="26">
        <f t="shared" si="4"/>
        <v>40.687002116576387</v>
      </c>
      <c r="C71" s="40">
        <f t="shared" si="7"/>
        <v>22.554347826086957</v>
      </c>
      <c r="D71" s="13">
        <f t="shared" si="14"/>
        <v>0.93976449275362317</v>
      </c>
      <c r="E71" s="10">
        <f t="shared" si="16"/>
        <v>2200</v>
      </c>
      <c r="F71" s="39">
        <v>0</v>
      </c>
      <c r="G71" s="18">
        <f t="shared" si="13"/>
        <v>46099.520335449917</v>
      </c>
      <c r="H71" s="32" t="s">
        <v>88</v>
      </c>
      <c r="I71" s="38">
        <f>((E71-E53)/18.4*6/60)*2+6+15/60</f>
        <v>22.554347826086957</v>
      </c>
      <c r="J71" s="46">
        <f t="shared" si="11"/>
        <v>40.478668783243052</v>
      </c>
      <c r="K71" s="1"/>
      <c r="L71" s="1"/>
      <c r="M71" s="1"/>
      <c r="N71" s="1"/>
      <c r="O71" s="33"/>
      <c r="P71" s="34"/>
    </row>
    <row r="72" spans="2:16" s="9" customFormat="1">
      <c r="B72" s="26">
        <f t="shared" si="4"/>
        <v>40.770335449909723</v>
      </c>
      <c r="C72" s="40">
        <f t="shared" si="7"/>
        <v>2</v>
      </c>
      <c r="D72" s="13">
        <f t="shared" si="14"/>
        <v>8.3333333333333329E-2</v>
      </c>
      <c r="E72" s="10">
        <f t="shared" ref="E72:E73" si="23">E70+F72</f>
        <v>2200</v>
      </c>
      <c r="F72" s="39">
        <v>0</v>
      </c>
      <c r="G72" s="18">
        <f t="shared" si="13"/>
        <v>46099.603668783253</v>
      </c>
      <c r="H72" s="32" t="s">
        <v>11</v>
      </c>
      <c r="I72" s="38">
        <v>2</v>
      </c>
      <c r="J72" s="46">
        <f t="shared" si="11"/>
        <v>40.562002116576387</v>
      </c>
      <c r="K72" s="1"/>
      <c r="L72" s="1"/>
      <c r="M72" s="1"/>
      <c r="N72" s="1"/>
      <c r="O72" s="33"/>
      <c r="P72" s="34"/>
    </row>
    <row r="73" spans="2:16" s="9" customFormat="1">
      <c r="B73" s="26">
        <f t="shared" si="4"/>
        <v>41.272826391938708</v>
      </c>
      <c r="C73" s="40">
        <f t="shared" ref="C73:C93" si="24">I73</f>
        <v>12.059782608695654</v>
      </c>
      <c r="D73" s="13">
        <f t="shared" si="14"/>
        <v>0.50249094202898559</v>
      </c>
      <c r="E73" s="10">
        <f t="shared" si="23"/>
        <v>2200</v>
      </c>
      <c r="F73" s="39">
        <v>0</v>
      </c>
      <c r="G73" s="18">
        <f t="shared" si="13"/>
        <v>46100.106159725285</v>
      </c>
      <c r="H73" s="44" t="s">
        <v>89</v>
      </c>
      <c r="I73" s="38">
        <f>((E73-27)/18.4*6/60)+15/60</f>
        <v>12.059782608695654</v>
      </c>
      <c r="J73" s="46">
        <f t="shared" si="11"/>
        <v>41.064493058605372</v>
      </c>
      <c r="K73" s="1"/>
      <c r="L73" s="1"/>
      <c r="M73" s="1"/>
      <c r="N73" s="1"/>
      <c r="O73" s="33"/>
      <c r="P73" s="34"/>
    </row>
    <row r="74" spans="2:16" s="9" customFormat="1">
      <c r="B74" s="26">
        <f t="shared" si="4"/>
        <v>41.439493058605372</v>
      </c>
      <c r="C74" s="40">
        <f t="shared" si="24"/>
        <v>4</v>
      </c>
      <c r="D74" s="13">
        <f t="shared" si="14"/>
        <v>0.16666666666666666</v>
      </c>
      <c r="E74" s="10">
        <f t="shared" ref="E74:E94" si="25">E72+F74</f>
        <v>2200</v>
      </c>
      <c r="F74" s="39">
        <v>0</v>
      </c>
      <c r="G74" s="18">
        <f t="shared" ref="G74:G93" si="26">SUM(G73+D74)</f>
        <v>46100.272826391949</v>
      </c>
      <c r="H74" s="44" t="s">
        <v>45</v>
      </c>
      <c r="I74" s="26">
        <v>4</v>
      </c>
      <c r="J74" s="46">
        <f t="shared" si="11"/>
        <v>41.231159725272036</v>
      </c>
      <c r="K74" s="1"/>
      <c r="L74" s="1"/>
      <c r="M74" s="1"/>
      <c r="N74" s="1"/>
      <c r="O74" s="33"/>
      <c r="P74" s="34"/>
    </row>
    <row r="75" spans="2:16" s="59" customFormat="1" ht="56.25" customHeight="1">
      <c r="B75" s="26">
        <f t="shared" ref="B75:B93" si="27">B74+D75</f>
        <v>42.939493058605372</v>
      </c>
      <c r="C75" s="40">
        <f t="shared" si="24"/>
        <v>36</v>
      </c>
      <c r="D75" s="13">
        <f t="shared" si="14"/>
        <v>1.5</v>
      </c>
      <c r="E75" s="10">
        <f t="shared" si="25"/>
        <v>2200</v>
      </c>
      <c r="F75" s="39">
        <v>0</v>
      </c>
      <c r="G75" s="18">
        <f t="shared" si="26"/>
        <v>46101.772826391949</v>
      </c>
      <c r="H75" s="85" t="s">
        <v>43</v>
      </c>
      <c r="I75" s="84">
        <v>36</v>
      </c>
      <c r="J75" s="46">
        <f t="shared" si="11"/>
        <v>42.731159725272036</v>
      </c>
      <c r="K75" s="56"/>
      <c r="L75" s="56"/>
      <c r="M75" s="56"/>
      <c r="N75" s="56"/>
      <c r="O75" s="57"/>
      <c r="P75" s="58"/>
    </row>
    <row r="76" spans="2:16" s="9" customFormat="1">
      <c r="B76" s="26">
        <f t="shared" si="27"/>
        <v>43.022826391938708</v>
      </c>
      <c r="C76" s="40">
        <f t="shared" si="24"/>
        <v>2</v>
      </c>
      <c r="D76" s="13">
        <f t="shared" si="14"/>
        <v>8.3333333333333329E-2</v>
      </c>
      <c r="E76" s="10">
        <f t="shared" si="25"/>
        <v>2200</v>
      </c>
      <c r="F76" s="39">
        <v>0</v>
      </c>
      <c r="G76" s="18">
        <f t="shared" si="26"/>
        <v>46101.856159725285</v>
      </c>
      <c r="H76" s="44" t="s">
        <v>49</v>
      </c>
      <c r="I76" s="26">
        <v>2</v>
      </c>
      <c r="J76" s="46">
        <f t="shared" si="11"/>
        <v>42.814493058605372</v>
      </c>
      <c r="K76" s="1"/>
      <c r="L76" s="1"/>
      <c r="M76" s="1"/>
      <c r="N76" s="1"/>
      <c r="O76" s="33"/>
      <c r="P76" s="34"/>
    </row>
    <row r="77" spans="2:16" s="9" customFormat="1">
      <c r="B77" s="26">
        <f t="shared" si="27"/>
        <v>43.437983396769624</v>
      </c>
      <c r="C77" s="40">
        <f t="shared" si="24"/>
        <v>9.9637681159420293</v>
      </c>
      <c r="D77" s="13">
        <f t="shared" si="14"/>
        <v>0.41515700483091789</v>
      </c>
      <c r="E77" s="10">
        <f t="shared" si="25"/>
        <v>2200</v>
      </c>
      <c r="F77" s="39">
        <v>0</v>
      </c>
      <c r="G77" s="18">
        <f t="shared" si="26"/>
        <v>46102.271316730119</v>
      </c>
      <c r="H77" s="44" t="s">
        <v>50</v>
      </c>
      <c r="I77" s="26">
        <f>(E77/18.4*5/60)</f>
        <v>9.9637681159420293</v>
      </c>
      <c r="J77" s="46">
        <f t="shared" si="11"/>
        <v>43.229650063436289</v>
      </c>
      <c r="K77" s="1"/>
      <c r="L77" s="1"/>
      <c r="M77" s="1"/>
      <c r="N77" s="1"/>
      <c r="O77" s="33"/>
      <c r="P77" s="34"/>
    </row>
    <row r="78" spans="2:16" s="9" customFormat="1">
      <c r="B78" s="26">
        <f t="shared" si="27"/>
        <v>43.604650063436289</v>
      </c>
      <c r="C78" s="40">
        <f t="shared" si="24"/>
        <v>4</v>
      </c>
      <c r="D78" s="13">
        <f t="shared" si="14"/>
        <v>0.16666666666666666</v>
      </c>
      <c r="E78" s="10">
        <f t="shared" si="25"/>
        <v>2200</v>
      </c>
      <c r="F78" s="39">
        <v>0</v>
      </c>
      <c r="G78" s="18">
        <f t="shared" si="26"/>
        <v>46102.437983396783</v>
      </c>
      <c r="H78" s="44" t="s">
        <v>95</v>
      </c>
      <c r="I78" s="26">
        <v>4</v>
      </c>
      <c r="J78" s="46">
        <f t="shared" si="11"/>
        <v>43.396316730102953</v>
      </c>
      <c r="K78" s="1"/>
      <c r="L78" s="1"/>
      <c r="M78" s="1"/>
      <c r="N78" s="1"/>
      <c r="O78" s="33"/>
      <c r="P78" s="34"/>
    </row>
    <row r="79" spans="2:16" s="9" customFormat="1">
      <c r="B79" s="26">
        <f t="shared" si="27"/>
        <v>44.566153686624695</v>
      </c>
      <c r="C79" s="40">
        <f t="shared" si="24"/>
        <v>23.076086956521742</v>
      </c>
      <c r="D79" s="13">
        <f t="shared" si="14"/>
        <v>0.96150362318840588</v>
      </c>
      <c r="E79" s="10">
        <f t="shared" si="25"/>
        <v>2200</v>
      </c>
      <c r="F79" s="39">
        <v>0</v>
      </c>
      <c r="G79" s="18">
        <f t="shared" si="26"/>
        <v>46103.399487019975</v>
      </c>
      <c r="H79" s="21" t="s">
        <v>90</v>
      </c>
      <c r="I79" s="26">
        <f>((E79-100)/9.2*6/60)+15/60</f>
        <v>23.076086956521742</v>
      </c>
      <c r="J79" s="46">
        <f t="shared" si="11"/>
        <v>44.357820353291359</v>
      </c>
      <c r="K79" s="1"/>
      <c r="L79" s="1"/>
      <c r="M79" s="1"/>
      <c r="N79" s="1"/>
      <c r="O79" s="33"/>
      <c r="P79" s="34"/>
    </row>
    <row r="80" spans="2:16" s="9" customFormat="1">
      <c r="B80" s="26">
        <f t="shared" si="27"/>
        <v>44.816153686624695</v>
      </c>
      <c r="C80" s="40">
        <f t="shared" si="24"/>
        <v>6</v>
      </c>
      <c r="D80" s="13">
        <f t="shared" si="14"/>
        <v>0.25</v>
      </c>
      <c r="E80" s="10">
        <f t="shared" si="25"/>
        <v>2200</v>
      </c>
      <c r="F80" s="39">
        <v>0</v>
      </c>
      <c r="G80" s="18">
        <f t="shared" si="26"/>
        <v>46103.649487019975</v>
      </c>
      <c r="H80" s="21" t="s">
        <v>15</v>
      </c>
      <c r="I80" s="26">
        <v>6</v>
      </c>
      <c r="J80" s="46">
        <f t="shared" ref="J80:J94" si="28">J79+D80</f>
        <v>44.607820353291359</v>
      </c>
      <c r="K80" s="1"/>
      <c r="L80" s="1"/>
      <c r="M80" s="1"/>
      <c r="N80" s="1"/>
      <c r="O80" s="33"/>
      <c r="P80" s="34"/>
    </row>
    <row r="81" spans="2:16" s="9" customFormat="1">
      <c r="B81" s="26">
        <f t="shared" si="27"/>
        <v>44.982820353291359</v>
      </c>
      <c r="C81" s="40">
        <f t="shared" si="24"/>
        <v>4</v>
      </c>
      <c r="D81" s="13">
        <f t="shared" si="14"/>
        <v>0.16666666666666666</v>
      </c>
      <c r="E81" s="10">
        <f t="shared" si="25"/>
        <v>2200</v>
      </c>
      <c r="F81" s="39">
        <v>0</v>
      </c>
      <c r="G81" s="18">
        <f t="shared" si="26"/>
        <v>46103.816153686639</v>
      </c>
      <c r="H81" s="66" t="s">
        <v>51</v>
      </c>
      <c r="I81" s="26">
        <v>4</v>
      </c>
      <c r="J81" s="46">
        <f t="shared" si="28"/>
        <v>44.774487019958023</v>
      </c>
      <c r="K81" s="1"/>
      <c r="L81" s="1"/>
      <c r="M81" s="1"/>
      <c r="N81" s="1"/>
      <c r="O81" s="33"/>
      <c r="P81" s="34"/>
    </row>
    <row r="82" spans="2:16" s="9" customFormat="1" ht="13.9" customHeight="1">
      <c r="B82" s="26">
        <f t="shared" si="27"/>
        <v>45.94103291367783</v>
      </c>
      <c r="C82" s="40">
        <f t="shared" si="24"/>
        <v>22.997101449275359</v>
      </c>
      <c r="D82" s="13">
        <f t="shared" si="14"/>
        <v>0.95821256038647329</v>
      </c>
      <c r="E82" s="10">
        <f t="shared" si="25"/>
        <v>2200</v>
      </c>
      <c r="F82" s="39">
        <v>0</v>
      </c>
      <c r="G82" s="18">
        <f t="shared" si="26"/>
        <v>46104.774366247024</v>
      </c>
      <c r="H82" s="21" t="s">
        <v>92</v>
      </c>
      <c r="I82" s="26">
        <f>E82/11.5*6/60+20/60+20/60+30/60+1+1.2+15/60*2</f>
        <v>22.997101449275359</v>
      </c>
      <c r="J82" s="46">
        <f t="shared" si="28"/>
        <v>45.732699580344494</v>
      </c>
      <c r="K82" s="1"/>
      <c r="L82" s="1"/>
      <c r="M82" s="1"/>
      <c r="N82" s="1"/>
      <c r="O82" s="33"/>
      <c r="P82" s="34"/>
    </row>
    <row r="83" spans="2:16" s="9" customFormat="1">
      <c r="B83" s="26">
        <f t="shared" si="27"/>
        <v>46.06603291367783</v>
      </c>
      <c r="C83" s="40">
        <f t="shared" si="24"/>
        <v>3</v>
      </c>
      <c r="D83" s="13">
        <f t="shared" si="14"/>
        <v>0.125</v>
      </c>
      <c r="E83" s="10">
        <f t="shared" si="25"/>
        <v>2200</v>
      </c>
      <c r="F83" s="39">
        <v>0</v>
      </c>
      <c r="G83" s="18">
        <f t="shared" si="26"/>
        <v>46104.899366247024</v>
      </c>
      <c r="H83" s="21" t="s">
        <v>13</v>
      </c>
      <c r="I83" s="26">
        <v>3</v>
      </c>
      <c r="J83" s="46">
        <f t="shared" si="28"/>
        <v>45.857699580344494</v>
      </c>
      <c r="K83" s="1"/>
      <c r="L83" s="1"/>
      <c r="M83" s="1"/>
      <c r="N83" s="1"/>
      <c r="O83" s="33"/>
      <c r="P83" s="34"/>
    </row>
    <row r="84" spans="2:16" s="9" customFormat="1">
      <c r="B84" s="26">
        <f t="shared" si="27"/>
        <v>46.774366247011166</v>
      </c>
      <c r="C84" s="40">
        <f t="shared" si="24"/>
        <v>17</v>
      </c>
      <c r="D84" s="13">
        <f t="shared" si="14"/>
        <v>0.70833333333333337</v>
      </c>
      <c r="E84" s="10">
        <f t="shared" si="25"/>
        <v>2200</v>
      </c>
      <c r="F84" s="39">
        <v>0</v>
      </c>
      <c r="G84" s="18">
        <f t="shared" si="26"/>
        <v>46105.60769958036</v>
      </c>
      <c r="H84" s="21" t="s">
        <v>56</v>
      </c>
      <c r="I84" s="38">
        <f>5+8+4</f>
        <v>17</v>
      </c>
      <c r="J84" s="46">
        <f t="shared" si="28"/>
        <v>46.56603291367783</v>
      </c>
      <c r="K84" s="1"/>
      <c r="L84" s="1"/>
      <c r="M84" s="1"/>
      <c r="N84" s="1"/>
      <c r="O84" s="33"/>
      <c r="P84" s="34"/>
    </row>
    <row r="85" spans="2:16" s="9" customFormat="1">
      <c r="B85" s="26">
        <f t="shared" si="27"/>
        <v>47.774366247011166</v>
      </c>
      <c r="C85" s="40">
        <f t="shared" si="24"/>
        <v>24</v>
      </c>
      <c r="D85" s="13">
        <f t="shared" si="14"/>
        <v>1</v>
      </c>
      <c r="E85" s="10">
        <f t="shared" si="25"/>
        <v>2200</v>
      </c>
      <c r="F85" s="39">
        <v>0</v>
      </c>
      <c r="G85" s="18">
        <f t="shared" si="26"/>
        <v>46106.60769958036</v>
      </c>
      <c r="H85" s="21" t="s">
        <v>39</v>
      </c>
      <c r="I85" s="26">
        <v>24</v>
      </c>
      <c r="J85" s="46">
        <f t="shared" si="28"/>
        <v>47.56603291367783</v>
      </c>
      <c r="K85" s="1"/>
      <c r="L85" s="1"/>
      <c r="M85" s="1"/>
      <c r="N85" s="1"/>
      <c r="O85" s="33"/>
      <c r="P85" s="34"/>
    </row>
    <row r="86" spans="2:16" s="9" customFormat="1">
      <c r="B86" s="26">
        <f t="shared" si="27"/>
        <v>47.857699580344502</v>
      </c>
      <c r="C86" s="40">
        <f t="shared" si="24"/>
        <v>2</v>
      </c>
      <c r="D86" s="13">
        <f t="shared" si="14"/>
        <v>8.3333333333333329E-2</v>
      </c>
      <c r="E86" s="10">
        <f t="shared" si="25"/>
        <v>2200</v>
      </c>
      <c r="F86" s="39">
        <v>0</v>
      </c>
      <c r="G86" s="18">
        <f t="shared" si="26"/>
        <v>46106.691032913695</v>
      </c>
      <c r="H86" s="21" t="s">
        <v>57</v>
      </c>
      <c r="I86" s="38">
        <v>2</v>
      </c>
      <c r="J86" s="46">
        <f t="shared" si="28"/>
        <v>47.649366247011166</v>
      </c>
      <c r="K86" s="1"/>
      <c r="L86" s="1"/>
      <c r="M86" s="1"/>
      <c r="N86" s="1"/>
      <c r="O86" s="33"/>
      <c r="P86" s="34"/>
    </row>
    <row r="87" spans="2:16" s="9" customFormat="1">
      <c r="B87" s="26">
        <f t="shared" si="27"/>
        <v>48.609964073098126</v>
      </c>
      <c r="C87" s="40">
        <f t="shared" si="24"/>
        <v>18.054347826086957</v>
      </c>
      <c r="D87" s="13">
        <f t="shared" si="14"/>
        <v>0.75226449275362317</v>
      </c>
      <c r="E87" s="10">
        <f t="shared" si="25"/>
        <v>2200</v>
      </c>
      <c r="F87" s="39">
        <v>0</v>
      </c>
      <c r="G87" s="18">
        <f t="shared" si="26"/>
        <v>46107.443297406448</v>
      </c>
      <c r="H87" s="21" t="s">
        <v>58</v>
      </c>
      <c r="I87" s="38">
        <f>(1500/9.2*6/60+60/60+45/60)</f>
        <v>18.054347826086957</v>
      </c>
      <c r="J87" s="46">
        <f t="shared" si="28"/>
        <v>48.401630739764791</v>
      </c>
      <c r="K87" s="1"/>
      <c r="L87" s="1"/>
      <c r="M87" s="1"/>
      <c r="N87" s="1"/>
      <c r="O87" s="33"/>
      <c r="P87" s="34"/>
    </row>
    <row r="88" spans="2:16" s="9" customFormat="1">
      <c r="B88" s="26">
        <f t="shared" si="27"/>
        <v>48.755797406431462</v>
      </c>
      <c r="C88" s="40">
        <f t="shared" si="24"/>
        <v>3.5</v>
      </c>
      <c r="D88" s="13">
        <f t="shared" si="14"/>
        <v>0.14583333333333334</v>
      </c>
      <c r="E88" s="10">
        <f t="shared" si="25"/>
        <v>2200</v>
      </c>
      <c r="F88" s="39">
        <v>0</v>
      </c>
      <c r="G88" s="18">
        <f t="shared" si="26"/>
        <v>46107.589130739783</v>
      </c>
      <c r="H88" s="21" t="s">
        <v>40</v>
      </c>
      <c r="I88" s="26">
        <v>3.5</v>
      </c>
      <c r="J88" s="46">
        <f t="shared" si="28"/>
        <v>48.547464073098126</v>
      </c>
      <c r="K88" s="1"/>
      <c r="L88" s="1"/>
      <c r="M88" s="1"/>
      <c r="N88" s="1"/>
      <c r="O88" s="33"/>
      <c r="P88" s="34"/>
    </row>
    <row r="89" spans="2:16" s="9" customFormat="1">
      <c r="B89" s="26">
        <f t="shared" si="27"/>
        <v>49.12490972527204</v>
      </c>
      <c r="C89" s="40">
        <f t="shared" si="24"/>
        <v>8.858695652173914</v>
      </c>
      <c r="D89" s="13">
        <f t="shared" si="14"/>
        <v>0.36911231884057977</v>
      </c>
      <c r="E89" s="10">
        <f t="shared" si="25"/>
        <v>2200</v>
      </c>
      <c r="F89" s="39">
        <v>0</v>
      </c>
      <c r="G89" s="18">
        <f t="shared" si="26"/>
        <v>46107.958243058623</v>
      </c>
      <c r="H89" s="21" t="s">
        <v>91</v>
      </c>
      <c r="I89" s="26">
        <f>(700/9.2*6/60+45/60)+15/60*2</f>
        <v>8.858695652173914</v>
      </c>
      <c r="J89" s="46">
        <f t="shared" si="28"/>
        <v>48.916576391938705</v>
      </c>
      <c r="K89" s="1"/>
      <c r="L89" s="1"/>
      <c r="M89" s="1"/>
      <c r="N89" s="1"/>
      <c r="O89" s="33"/>
      <c r="P89" s="34"/>
    </row>
    <row r="90" spans="2:16" s="9" customFormat="1" ht="24">
      <c r="B90" s="26">
        <f t="shared" si="27"/>
        <v>49.291576391938705</v>
      </c>
      <c r="C90" s="40">
        <f t="shared" si="24"/>
        <v>4</v>
      </c>
      <c r="D90" s="13">
        <f t="shared" si="14"/>
        <v>0.16666666666666666</v>
      </c>
      <c r="E90" s="10">
        <f t="shared" si="25"/>
        <v>2200</v>
      </c>
      <c r="F90" s="39">
        <v>0</v>
      </c>
      <c r="G90" s="18">
        <f t="shared" si="26"/>
        <v>46108.124909725288</v>
      </c>
      <c r="H90" s="80" t="s">
        <v>52</v>
      </c>
      <c r="I90" s="26">
        <v>4</v>
      </c>
      <c r="J90" s="46">
        <f t="shared" si="28"/>
        <v>49.083243058605369</v>
      </c>
      <c r="K90" s="1"/>
      <c r="L90" s="1"/>
      <c r="M90" s="1"/>
      <c r="N90" s="1"/>
      <c r="O90" s="33"/>
      <c r="P90" s="34"/>
    </row>
    <row r="91" spans="2:16" s="14" customFormat="1" ht="12.75" customHeight="1">
      <c r="B91" s="26">
        <f t="shared" si="27"/>
        <v>50.287953203532908</v>
      </c>
      <c r="C91" s="40">
        <f t="shared" si="24"/>
        <v>23.913043478260871</v>
      </c>
      <c r="D91" s="13">
        <f t="shared" si="14"/>
        <v>0.99637681159420299</v>
      </c>
      <c r="E91" s="10">
        <f t="shared" si="25"/>
        <v>2200</v>
      </c>
      <c r="F91" s="39">
        <v>0</v>
      </c>
      <c r="G91" s="18">
        <f t="shared" si="26"/>
        <v>46109.12128653688</v>
      </c>
      <c r="H91" s="44" t="s">
        <v>41</v>
      </c>
      <c r="I91" s="26">
        <f>(E91/9.2*6/60)</f>
        <v>23.913043478260871</v>
      </c>
      <c r="J91" s="46">
        <f t="shared" si="28"/>
        <v>50.079619870199572</v>
      </c>
      <c r="K91" s="1"/>
      <c r="L91" s="1"/>
      <c r="M91" s="1"/>
      <c r="N91" s="1"/>
      <c r="O91" s="33"/>
      <c r="P91" s="34"/>
    </row>
    <row r="92" spans="2:16" s="59" customFormat="1">
      <c r="B92" s="26">
        <f t="shared" si="27"/>
        <v>51.287953203532908</v>
      </c>
      <c r="C92" s="40">
        <f t="shared" si="24"/>
        <v>24</v>
      </c>
      <c r="D92" s="13">
        <f t="shared" si="14"/>
        <v>1</v>
      </c>
      <c r="E92" s="10">
        <f t="shared" si="25"/>
        <v>2200</v>
      </c>
      <c r="F92" s="39">
        <v>0</v>
      </c>
      <c r="G92" s="18">
        <f t="shared" si="26"/>
        <v>46110.12128653688</v>
      </c>
      <c r="H92" s="79" t="s">
        <v>42</v>
      </c>
      <c r="I92" s="84">
        <v>24</v>
      </c>
      <c r="J92" s="46">
        <f t="shared" si="28"/>
        <v>51.079619870199572</v>
      </c>
      <c r="K92" s="56"/>
      <c r="L92" s="56"/>
      <c r="M92" s="56"/>
      <c r="N92" s="56"/>
      <c r="O92" s="57"/>
      <c r="P92" s="58"/>
    </row>
    <row r="93" spans="2:16" s="9" customFormat="1">
      <c r="B93" s="26">
        <f t="shared" si="27"/>
        <v>52.037953203532908</v>
      </c>
      <c r="C93" s="40">
        <f t="shared" si="24"/>
        <v>18</v>
      </c>
      <c r="D93" s="13">
        <f t="shared" si="14"/>
        <v>0.75</v>
      </c>
      <c r="E93" s="10">
        <f t="shared" si="25"/>
        <v>2200</v>
      </c>
      <c r="F93" s="39">
        <v>0</v>
      </c>
      <c r="G93" s="18">
        <f t="shared" si="26"/>
        <v>46110.87128653688</v>
      </c>
      <c r="H93" s="66" t="s">
        <v>21</v>
      </c>
      <c r="I93" s="26">
        <f>10+6+2</f>
        <v>18</v>
      </c>
      <c r="J93" s="46">
        <f t="shared" si="28"/>
        <v>51.829619870199572</v>
      </c>
      <c r="K93" s="1"/>
      <c r="L93" s="1"/>
      <c r="M93" s="1"/>
      <c r="N93" s="1"/>
      <c r="O93" s="33"/>
      <c r="P93" s="34"/>
    </row>
    <row r="94" spans="2:16" s="9" customFormat="1" ht="24.75" thickBot="1">
      <c r="B94" s="81">
        <f>B93+D94</f>
        <v>54.639850863709555</v>
      </c>
      <c r="C94" s="67">
        <f>I94</f>
        <v>62.445543844239495</v>
      </c>
      <c r="D94" s="68">
        <f>C94/24</f>
        <v>2.6018976601766455</v>
      </c>
      <c r="E94" s="69">
        <f t="shared" si="25"/>
        <v>2200</v>
      </c>
      <c r="F94" s="70">
        <v>0</v>
      </c>
      <c r="G94" s="71">
        <f t="shared" ref="G94" si="29">SUM(G93+D94)</f>
        <v>46113.473184197057</v>
      </c>
      <c r="H94" s="73" t="s">
        <v>69</v>
      </c>
      <c r="I94" s="72">
        <f>((B93)*0.05)*24</f>
        <v>62.445543844239495</v>
      </c>
      <c r="J94" s="46">
        <f t="shared" si="28"/>
        <v>54.431517530376219</v>
      </c>
      <c r="K94" s="1"/>
      <c r="L94" s="1"/>
      <c r="M94" s="1"/>
      <c r="N94" s="1"/>
      <c r="O94" s="33"/>
      <c r="P94" s="34"/>
    </row>
    <row r="95" spans="2:16" s="9" customFormat="1">
      <c r="B95" s="101" t="s">
        <v>70</v>
      </c>
      <c r="C95" s="101"/>
      <c r="D95" s="101"/>
      <c r="E95" s="86"/>
      <c r="F95" s="87"/>
      <c r="G95" s="87"/>
      <c r="H95" s="87"/>
      <c r="I95" s="88"/>
      <c r="J95" s="46"/>
      <c r="K95" s="1"/>
      <c r="L95" s="1"/>
      <c r="M95" s="1"/>
      <c r="N95" s="1"/>
      <c r="O95" s="33"/>
      <c r="P95" s="34"/>
    </row>
    <row r="96" spans="2:16">
      <c r="B96" s="101"/>
      <c r="C96" s="101"/>
      <c r="D96" s="101"/>
      <c r="E96" s="89"/>
      <c r="F96" s="90"/>
      <c r="G96" s="91">
        <f>G94+6</f>
        <v>46119.473184197057</v>
      </c>
      <c r="H96" s="87"/>
      <c r="I96" s="89"/>
      <c r="J96" s="46"/>
      <c r="O96" s="33"/>
      <c r="P96" s="34"/>
    </row>
    <row r="97" spans="2:16">
      <c r="B97" s="89"/>
      <c r="C97" s="92"/>
      <c r="D97" s="93"/>
      <c r="E97" s="89"/>
      <c r="F97" s="90"/>
      <c r="G97" s="90"/>
      <c r="H97" s="89"/>
      <c r="I97" s="88"/>
      <c r="J97" s="46"/>
      <c r="O97" s="33"/>
      <c r="P97" s="34"/>
    </row>
    <row r="98" spans="2:16" ht="17.25" customHeight="1">
      <c r="B98" s="94" t="s">
        <v>6</v>
      </c>
      <c r="C98" s="94"/>
      <c r="D98" s="97" t="s">
        <v>22</v>
      </c>
      <c r="E98" s="97"/>
      <c r="F98" s="97"/>
      <c r="G98" s="97"/>
      <c r="H98" s="97"/>
      <c r="I98" s="97"/>
      <c r="J98" s="46"/>
      <c r="O98" s="33"/>
      <c r="P98" s="34"/>
    </row>
    <row r="99" spans="2:16" ht="17.25" customHeight="1">
      <c r="B99" s="94"/>
      <c r="C99" s="94"/>
      <c r="D99" s="97" t="s">
        <v>73</v>
      </c>
      <c r="E99" s="97"/>
      <c r="F99" s="97"/>
      <c r="G99" s="97"/>
      <c r="H99" s="97"/>
      <c r="I99" s="97"/>
      <c r="J99" s="46"/>
    </row>
    <row r="100" spans="2:16" ht="27.75" customHeight="1">
      <c r="B100" s="87"/>
      <c r="C100" s="87"/>
      <c r="D100" s="97" t="s">
        <v>74</v>
      </c>
      <c r="E100" s="97"/>
      <c r="F100" s="97"/>
      <c r="G100" s="97"/>
      <c r="H100" s="97"/>
      <c r="I100" s="97"/>
      <c r="J100" s="46"/>
    </row>
    <row r="101" spans="2:16">
      <c r="B101" s="62"/>
      <c r="C101" s="62"/>
      <c r="D101" s="62"/>
      <c r="E101" s="62"/>
      <c r="F101" s="62"/>
      <c r="G101" s="62"/>
      <c r="H101" s="63"/>
      <c r="I101" s="46"/>
      <c r="J101" s="46"/>
    </row>
    <row r="102" spans="2:16" ht="40.5" customHeight="1">
      <c r="B102" s="61"/>
      <c r="C102" s="61"/>
      <c r="D102" s="61"/>
      <c r="E102" s="60"/>
      <c r="F102" s="61"/>
      <c r="G102" s="61"/>
      <c r="H102" s="61"/>
      <c r="I102" s="46"/>
      <c r="J102" s="46"/>
    </row>
  </sheetData>
  <mergeCells count="8">
    <mergeCell ref="G4:H4"/>
    <mergeCell ref="D100:I100"/>
    <mergeCell ref="B3:H3"/>
    <mergeCell ref="B4:D4"/>
    <mergeCell ref="E4:F4"/>
    <mergeCell ref="B95:D96"/>
    <mergeCell ref="D98:I98"/>
    <mergeCell ref="D99:I99"/>
  </mergeCells>
  <printOptions horizontalCentered="1"/>
  <pageMargins left="0.59055118110236227" right="0.39370078740157483" top="0.98425196850393704" bottom="0.59055118110236227" header="0.51181102362204722" footer="0"/>
  <pageSetup paperSize="9" scale="48" fitToHeight="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(2)</vt:lpstr>
      <vt:lpstr>'План (2)'!Область_печати</vt:lpstr>
    </vt:vector>
  </TitlesOfParts>
  <Company>PN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Dutov Alex</dc:creator>
  <cp:lastModifiedBy>Ламзина Анастасия Николаевна</cp:lastModifiedBy>
  <cp:lastPrinted>2024-05-13T09:55:24Z</cp:lastPrinted>
  <dcterms:created xsi:type="dcterms:W3CDTF">1996-10-14T23:33:28Z</dcterms:created>
  <dcterms:modified xsi:type="dcterms:W3CDTF">2025-12-30T07:55:38Z</dcterms:modified>
</cp:coreProperties>
</file>